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T-vs-S" sheetId="1" state="visible" r:id="rId1"/>
  </sheets>
</workbook>
</file>

<file path=xl/sharedStrings.xml><?xml version="1.0" encoding="utf-8"?>
<sst xmlns="http://schemas.openxmlformats.org/spreadsheetml/2006/main" count="2418" uniqueCount="2418">
  <si>
    <t xml:space="preserve">ID</t>
  </si>
  <si>
    <t xml:space="preserve">m/z</t>
  </si>
  <si>
    <t xml:space="preserve">Retention time (min)</t>
  </si>
  <si>
    <t xml:space="preserve">Ion mode</t>
  </si>
  <si>
    <t xml:space="preserve">Metabolites</t>
  </si>
  <si>
    <t xml:space="preserve">cid</t>
  </si>
  <si>
    <t xml:space="preserve">cidlink</t>
  </si>
  <si>
    <t xml:space="preserve">HMDB</t>
  </si>
  <si>
    <t xml:space="preserve">METLIN</t>
  </si>
  <si>
    <t xml:space="preserve">Lipidmaps</t>
  </si>
  <si>
    <t xml:space="preserve">ChEBI</t>
  </si>
  <si>
    <t xml:space="preserve">KEGG</t>
  </si>
  <si>
    <t xml:space="preserve">ID Annotation</t>
  </si>
  <si>
    <t xml:space="preserve">Annotation</t>
  </si>
  <si>
    <t xml:space="preserve">PubChem</t>
  </si>
  <si>
    <t xml:space="preserve">CAS</t>
  </si>
  <si>
    <t xml:space="preserve">smiles</t>
  </si>
  <si>
    <t xml:space="preserve">InChIKey</t>
  </si>
  <si>
    <t xml:space="preserve">Super Class</t>
  </si>
  <si>
    <t xml:space="preserve">Class</t>
  </si>
  <si>
    <t xml:space="preserve">Sub Class</t>
  </si>
  <si>
    <t xml:space="preserve">level</t>
  </si>
  <si>
    <t xml:space="preserve">Score</t>
  </si>
  <si>
    <t xml:space="preserve">Fragmentation Score</t>
  </si>
  <si>
    <t xml:space="preserve">Adducts</t>
  </si>
  <si>
    <t xml:space="preserve">Formula</t>
  </si>
  <si>
    <t xml:space="preserve">Mass Error (ppm)</t>
  </si>
  <si>
    <t xml:space="preserve">VIP</t>
  </si>
  <si>
    <t xml:space="preserve">Average(T)</t>
  </si>
  <si>
    <t xml:space="preserve">Average(S)</t>
  </si>
  <si>
    <t xml:space="preserve">FoldChange</t>
  </si>
  <si>
    <t xml:space="preserve">log2FoldChange</t>
  </si>
  <si>
    <t xml:space="preserve">Regulation</t>
  </si>
  <si>
    <t xml:space="preserve">p-value</t>
  </si>
  <si>
    <t xml:space="preserve">q-value</t>
  </si>
  <si>
    <t xml:space="preserve">T1</t>
  </si>
  <si>
    <t xml:space="preserve">T2</t>
  </si>
  <si>
    <t xml:space="preserve">T3</t>
  </si>
  <si>
    <t xml:space="preserve">T4</t>
  </si>
  <si>
    <t xml:space="preserve">T5</t>
  </si>
  <si>
    <t xml:space="preserve">S1</t>
  </si>
  <si>
    <t xml:space="preserve">S2</t>
  </si>
  <si>
    <t xml:space="preserve">S3</t>
  </si>
  <si>
    <t xml:space="preserve">S4</t>
  </si>
  <si>
    <t xml:space="preserve">S5</t>
  </si>
  <si>
    <t xml:space="preserve">6.15_337.1557n</t>
  </si>
  <si>
    <t xml:space="preserve">neg</t>
  </si>
  <si>
    <t xml:space="preserve">Oclacitinib</t>
  </si>
  <si>
    <t xml:space="preserve">HMDB0255887</t>
  </si>
  <si>
    <t xml:space="preserve">CNS(=O)(=O)CC1CCC(CC1)N(C)C1=NC=NC2=C1C=CN2</t>
  </si>
  <si>
    <t xml:space="preserve">HJWLJNBZVZDLAQ-UHFFFAOYSA-N</t>
  </si>
  <si>
    <t xml:space="preserve">Organoheterocyclic compounds</t>
  </si>
  <si>
    <t xml:space="preserve">Pyrrolopyrimidines</t>
  </si>
  <si>
    <t xml:space="preserve">Pyrrolo[2,3-d]pyrimidines</t>
  </si>
  <si>
    <t xml:space="preserve">Level 4</t>
  </si>
  <si>
    <t xml:space="preserve">M-H, 2M-H</t>
  </si>
  <si>
    <t xml:space="preserve">C15H23N5O2S</t>
  </si>
  <si>
    <t xml:space="preserve">Down</t>
  </si>
  <si>
    <t xml:space="preserve">0.72_118.0866m/z</t>
  </si>
  <si>
    <t xml:space="preserve">pos</t>
  </si>
  <si>
    <t xml:space="preserve">Allyl Acetic Acid</t>
  </si>
  <si>
    <t xml:space="preserve">HMDB0031602</t>
  </si>
  <si>
    <t xml:space="preserve">LMFA01030007</t>
  </si>
  <si>
    <t xml:space="preserve">591-80-0</t>
  </si>
  <si>
    <t xml:space="preserve">C=CCCC(=O)O</t>
  </si>
  <si>
    <t xml:space="preserve">HVAMZGADVCBITI-UHFFFAOYSA-N</t>
  </si>
  <si>
    <t xml:space="preserve">Lipids and lipid-like molecules</t>
  </si>
  <si>
    <t xml:space="preserve">Fatty Acyls</t>
  </si>
  <si>
    <t xml:space="preserve">Fatty acids and conjugates</t>
  </si>
  <si>
    <t xml:space="preserve">Level 3</t>
  </si>
  <si>
    <t xml:space="preserve">M+NH4</t>
  </si>
  <si>
    <t xml:space="preserve">C5H8O2</t>
  </si>
  <si>
    <t xml:space="preserve">Up</t>
  </si>
  <si>
    <t xml:space="preserve">13.94_662.4461n</t>
  </si>
  <si>
    <t xml:space="preserve">3-Hexanoyl-Nbd Cholesterol</t>
  </si>
  <si>
    <t xml:space="preserve">CC(C)CCCC(C)C1CCC2C1(CCC3C2CC=C4C3(CCC(C4)OC(=O)CCCCCNC5=CC=C(C6=NON=C56)[N+](=O)[O-])C)C</t>
  </si>
  <si>
    <t xml:space="preserve">YZAQIPGLFHPDPI-FIWRCADXSA-N</t>
  </si>
  <si>
    <t xml:space="preserve">Unclassified</t>
  </si>
  <si>
    <t xml:space="preserve">M+H, M+NH4</t>
  </si>
  <si>
    <t xml:space="preserve">C39H58N4O5</t>
  </si>
  <si>
    <t xml:space="preserve">6.17_695.2858m/z</t>
  </si>
  <si>
    <t xml:space="preserve">N-(2-Methoxybenzyl)-N-(4-Phenoxypyridin-3-Yl)Acetamide</t>
  </si>
  <si>
    <t xml:space="preserve">HMDB0249955</t>
  </si>
  <si>
    <t xml:space="preserve">COC1=CC=CC=C1CN(C(C)=O)C1=C(OC2=CC=CC=C2)C=CN=C1</t>
  </si>
  <si>
    <t xml:space="preserve">DHZBNHMEIOBPAE-UHFFFAOYSA-N</t>
  </si>
  <si>
    <t xml:space="preserve">2M-H</t>
  </si>
  <si>
    <t xml:space="preserve">C21H20N2O3</t>
  </si>
  <si>
    <t xml:space="preserve">0.75_138.0550m/z</t>
  </si>
  <si>
    <t xml:space="preserve">Methoxycatecholamine</t>
  </si>
  <si>
    <t xml:space="preserve">HMDB0254544</t>
  </si>
  <si>
    <t xml:space="preserve">COC1=C(N)C(O)=C(O)C=C1</t>
  </si>
  <si>
    <t xml:space="preserve">KHTCLRGXXJPSRJ-UHFFFAOYSA-N</t>
  </si>
  <si>
    <t xml:space="preserve">Level 1</t>
  </si>
  <si>
    <t xml:space="preserve">M+H-H2O</t>
  </si>
  <si>
    <t xml:space="preserve">C7H9NO3</t>
  </si>
  <si>
    <t xml:space="preserve">3.64_187.0635n</t>
  </si>
  <si>
    <t xml:space="preserve">Indoleacrylic Acid</t>
  </si>
  <si>
    <t xml:space="preserve">HMDB0000734</t>
  </si>
  <si>
    <t xml:space="preserve">29953-71-7</t>
  </si>
  <si>
    <t xml:space="preserve">OC(=O)\C=C\C1=CNC2=C1C=CC=C2</t>
  </si>
  <si>
    <t xml:space="preserve">PLVPPLCLBIEYEA-AATRIKPKSA-N</t>
  </si>
  <si>
    <t xml:space="preserve">Indoles and derivatives</t>
  </si>
  <si>
    <t xml:space="preserve">Indoles</t>
  </si>
  <si>
    <t xml:space="preserve">M+H, M+NH4, M+H-H2O</t>
  </si>
  <si>
    <t xml:space="preserve">C11H9NO2</t>
  </si>
  <si>
    <t xml:space="preserve">4.17_227.1522n</t>
  </si>
  <si>
    <t xml:space="preserve">N-Octanoyl-L-Homoserine Lactone</t>
  </si>
  <si>
    <t xml:space="preserve">HMDB0255213</t>
  </si>
  <si>
    <t xml:space="preserve">CCCCCCCC(O)=NC1CCOC1=O</t>
  </si>
  <si>
    <t xml:space="preserve">JKEJEOJPJVRHMQ-UHFFFAOYSA-N</t>
  </si>
  <si>
    <t xml:space="preserve">Organic acids and derivatives</t>
  </si>
  <si>
    <t xml:space="preserve">Carboxylic acids and derivatives</t>
  </si>
  <si>
    <t xml:space="preserve">Amino acids, peptides, and analogues</t>
  </si>
  <si>
    <t xml:space="preserve">C12H21NO3</t>
  </si>
  <si>
    <t xml:space="preserve">0.72_235.1652m/z</t>
  </si>
  <si>
    <t xml:space="preserve">O-Propanoyl-Carnitine</t>
  </si>
  <si>
    <t xml:space="preserve">HMDB0062514</t>
  </si>
  <si>
    <t xml:space="preserve">LMFA07070005</t>
  </si>
  <si>
    <t xml:space="preserve">C03017</t>
  </si>
  <si>
    <t xml:space="preserve">O=C(O[C@](CC([O-])=O)(C[N+](C)(C)C)[H])CC</t>
  </si>
  <si>
    <t xml:space="preserve">UFAHZIUFPNSHSL-MRVPVSSYSA-N</t>
  </si>
  <si>
    <t xml:space="preserve">Fatty acid esters</t>
  </si>
  <si>
    <t xml:space="preserve">Level 2</t>
  </si>
  <si>
    <t xml:space="preserve">C10H19NO4</t>
  </si>
  <si>
    <t xml:space="preserve">7.04_615.2777m/z</t>
  </si>
  <si>
    <t xml:space="preserve">PI(16:1(9Z)/0:0)</t>
  </si>
  <si>
    <t xml:space="preserve">LMGP06050009</t>
  </si>
  <si>
    <t xml:space="preserve">[C@]([H])(O)(COP(=O)(O)O[C@H]1[C@H](O)[C@@H](O)[C@H](O)[C@@H](O)[C@H]1O)COC(CCCCCCC/C=C\CCCCCC)=O</t>
  </si>
  <si>
    <t xml:space="preserve">VPFGUPHJCAHVJV-YUCDOUPMSA-N</t>
  </si>
  <si>
    <t xml:space="preserve">Glycerophospholipids</t>
  </si>
  <si>
    <t xml:space="preserve">Glycerophosphoinositols</t>
  </si>
  <si>
    <t xml:space="preserve">M+FA-H</t>
  </si>
  <si>
    <t xml:space="preserve">C25H47O12P</t>
  </si>
  <si>
    <t xml:space="preserve">6.97_619.3087m/z</t>
  </si>
  <si>
    <t xml:space="preserve">2-Hydroxy-3,6-Diphenylcyclohexyl Acetate</t>
  </si>
  <si>
    <t xml:space="preserve">CC(=O)OC1C(CCC(C1O)C2=CC=CC=C2)C3=CC=CC=C3</t>
  </si>
  <si>
    <t xml:space="preserve">RRGRXDIGPVAQIW-UHFFFAOYSA-N</t>
  </si>
  <si>
    <t xml:space="preserve">Organic oxygen compounds</t>
  </si>
  <si>
    <t xml:space="preserve">Organooxygen compounds</t>
  </si>
  <si>
    <t xml:space="preserve">Alcohols and polyols</t>
  </si>
  <si>
    <t xml:space="preserve">C20H22O3</t>
  </si>
  <si>
    <t xml:space="preserve">6.92_577.2618m/z</t>
  </si>
  <si>
    <t xml:space="preserve">Chloropyramine</t>
  </si>
  <si>
    <t xml:space="preserve">HMDB0015690</t>
  </si>
  <si>
    <t xml:space="preserve">59-32-5</t>
  </si>
  <si>
    <t xml:space="preserve">CN(C)CCN(CC1=CC=C(Cl)C=C1)C1=CC=CC=N1</t>
  </si>
  <si>
    <t xml:space="preserve">ICKFFNBDFNZJSX-UHFFFAOYSA-N</t>
  </si>
  <si>
    <t xml:space="preserve">Benzenoids</t>
  </si>
  <si>
    <t xml:space="preserve">Benzene and substituted derivatives</t>
  </si>
  <si>
    <t xml:space="preserve">Benzylamines</t>
  </si>
  <si>
    <t xml:space="preserve">C16H20ClN3</t>
  </si>
  <si>
    <t xml:space="preserve">2.13_148.0526n</t>
  </si>
  <si>
    <t xml:space="preserve">3,4-Dihydro-2h-1-Benzopyran-2-One</t>
  </si>
  <si>
    <t xml:space="preserve">HMDB0036626</t>
  </si>
  <si>
    <t xml:space="preserve">C02274</t>
  </si>
  <si>
    <t xml:space="preserve">119-84-6</t>
  </si>
  <si>
    <t xml:space="preserve">O=C1CCC2=CC=CC=C2O1</t>
  </si>
  <si>
    <t xml:space="preserve">VMUXSMXIQBNMGZ-UHFFFAOYSA-N</t>
  </si>
  <si>
    <t xml:space="preserve">Phenylpropanoids and polyketides</t>
  </si>
  <si>
    <t xml:space="preserve">3,4-dihydrocoumarins</t>
  </si>
  <si>
    <t xml:space="preserve">C9H8O2</t>
  </si>
  <si>
    <t xml:space="preserve">1.37_260.1370n</t>
  </si>
  <si>
    <t xml:space="preserve">Isoleucyl-Glutamate</t>
  </si>
  <si>
    <t xml:space="preserve">HMDB0028906</t>
  </si>
  <si>
    <t xml:space="preserve">CCC(C)C(N)C(=O)NC(CCC(O)=O)C(O)=O</t>
  </si>
  <si>
    <t xml:space="preserve">KTGFOCFYOZQVRJ-UHFFFAOYSA-N</t>
  </si>
  <si>
    <t xml:space="preserve">M-H2O-H, M-H</t>
  </si>
  <si>
    <t xml:space="preserve">C11H20N2O5</t>
  </si>
  <si>
    <t xml:space="preserve">6.87_621.2883m/z</t>
  </si>
  <si>
    <t xml:space="preserve">Ac-Pro-Gly-Pro-Oh</t>
  </si>
  <si>
    <t xml:space="preserve">HMDB0245745</t>
  </si>
  <si>
    <t xml:space="preserve">CC(=O)N1CCCC1C(=O)NCC(=O)N1CCCC1C(O)=O</t>
  </si>
  <si>
    <t xml:space="preserve">GSBMVIVQPLOJGL-UHFFFAOYSA-N</t>
  </si>
  <si>
    <t xml:space="preserve">C14H21N3O5</t>
  </si>
  <si>
    <t xml:space="preserve">1.05_204.1233m/z</t>
  </si>
  <si>
    <t xml:space="preserve">1,2-Cyclohexanedicarboxylic Acid, 4-Methyl-</t>
  </si>
  <si>
    <t xml:space="preserve">HMDB0253138</t>
  </si>
  <si>
    <t xml:space="preserve">CC1CCC(C(C1)C(O)=O)C(O)=O</t>
  </si>
  <si>
    <t xml:space="preserve">YWVFNWVZBAWOOY-UHFFFAOYSA-N</t>
  </si>
  <si>
    <t xml:space="preserve">C9H14O4</t>
  </si>
  <si>
    <t xml:space="preserve">0.68_117.0791n</t>
  </si>
  <si>
    <t xml:space="preserve">5-Amino-Pentanoic Acid</t>
  </si>
  <si>
    <t xml:space="preserve">HMDB0003355</t>
  </si>
  <si>
    <t xml:space="preserve">LMFA01100040</t>
  </si>
  <si>
    <t xml:space="preserve">C00431</t>
  </si>
  <si>
    <t xml:space="preserve">hame00310,hame00330,hame00470</t>
  </si>
  <si>
    <t xml:space="preserve">Lysine degradation|Arginine and proline metabolism|D-Amino acid metabolism</t>
  </si>
  <si>
    <t xml:space="preserve">660-88-8</t>
  </si>
  <si>
    <t xml:space="preserve">C(C(=O)O)CCCN</t>
  </si>
  <si>
    <t xml:space="preserve">JJMDCOVWQOJGCB-UHFFFAOYSA-N</t>
  </si>
  <si>
    <t xml:space="preserve">M+Na, M+K</t>
  </si>
  <si>
    <t xml:space="preserve">C5H11NO2</t>
  </si>
  <si>
    <t xml:space="preserve">6.99_613.2595m/z</t>
  </si>
  <si>
    <t xml:space="preserve">6-(7-Hydroxy-6,7-Dihydro-5h-Pyrrolo[1,2-C]Imidazol-7-Yl)-N-Methyl-2-Naphthamide</t>
  </si>
  <si>
    <t xml:space="preserve">HMDB0247030</t>
  </si>
  <si>
    <t xml:space="preserve">CNC(=O)C1=CC2=C(C=C1)C=C(C=C2)C1(O)CCN2C=NC=C12</t>
  </si>
  <si>
    <t xml:space="preserve">OZPFIJIOIVJZMN-UHFFFAOYSA-N</t>
  </si>
  <si>
    <t xml:space="preserve">Naphthalenes</t>
  </si>
  <si>
    <t xml:space="preserve">Naphthalenecarboxylic acids and derivatives</t>
  </si>
  <si>
    <t xml:space="preserve">C18H17N3O2</t>
  </si>
  <si>
    <t xml:space="preserve">0.81_204.1232m/z</t>
  </si>
  <si>
    <t xml:space="preserve">1-Methylcyclohexane-1,2-Dicarboxylic Acid</t>
  </si>
  <si>
    <t xml:space="preserve">HMDB0243937</t>
  </si>
  <si>
    <t xml:space="preserve">CC1(CCCCC1C(O)=O)C(O)=O</t>
  </si>
  <si>
    <t xml:space="preserve">PMUPSYZVABJEKC-UHFFFAOYSA-N</t>
  </si>
  <si>
    <t xml:space="preserve">6.99_591.2776m/z</t>
  </si>
  <si>
    <t xml:space="preserve">Cryptotanshinone</t>
  </si>
  <si>
    <t xml:space="preserve">HMDB0035220</t>
  </si>
  <si>
    <t xml:space="preserve">35825-57-1</t>
  </si>
  <si>
    <t xml:space="preserve">CC1COC2=C1C(=O)C(=O)C1=C2C=CC2=C1CCCC2(C)C</t>
  </si>
  <si>
    <t xml:space="preserve">GVKKJJOMQCNPGB-UHFFFAOYSA-N</t>
  </si>
  <si>
    <t xml:space="preserve">Prenol lipids</t>
  </si>
  <si>
    <t xml:space="preserve">Diterpenoids</t>
  </si>
  <si>
    <t xml:space="preserve">C19H20O3</t>
  </si>
  <si>
    <t xml:space="preserve">3.07_260.1374n</t>
  </si>
  <si>
    <t xml:space="preserve">Glutamylleucine</t>
  </si>
  <si>
    <t xml:space="preserve">HMDB0028823</t>
  </si>
  <si>
    <t xml:space="preserve">5969-52-8</t>
  </si>
  <si>
    <t xml:space="preserve">CC(C)C[C@H](NC(=O)[C@@H](N)CCC(O)=O)C(O)=O</t>
  </si>
  <si>
    <t xml:space="preserve">YBAFDPFAUTYYRW-YUMQZZPRSA-N</t>
  </si>
  <si>
    <t xml:space="preserve">M+H-H2O, M+Na, M+H</t>
  </si>
  <si>
    <t xml:space="preserve">6.87_581.2931m/z</t>
  </si>
  <si>
    <t xml:space="preserve">Desethylchloroquine</t>
  </si>
  <si>
    <t xml:space="preserve">HMDB0041870</t>
  </si>
  <si>
    <t xml:space="preserve">1476-52-4</t>
  </si>
  <si>
    <t xml:space="preserve">CCNCCCC(C)NC1=C2C=CC(Cl)=CC2=NC=C1</t>
  </si>
  <si>
    <t xml:space="preserve">MCYUUUTUAAGOOT-UHFFFAOYSA-N</t>
  </si>
  <si>
    <t xml:space="preserve">Quinolines and derivatives</t>
  </si>
  <si>
    <t xml:space="preserve">Aminoquinolines and derivatives</t>
  </si>
  <si>
    <t xml:space="preserve">C16H22ClN3</t>
  </si>
  <si>
    <t xml:space="preserve">3.82_230.1633n</t>
  </si>
  <si>
    <t xml:space="preserve">Valylleucine</t>
  </si>
  <si>
    <t xml:space="preserve">HMDB0029131</t>
  </si>
  <si>
    <t xml:space="preserve">3989-97-7</t>
  </si>
  <si>
    <t xml:space="preserve">CC(C)C[C@H](NC(=O)[C@@H](N)C(C)C)C(O)=O</t>
  </si>
  <si>
    <t xml:space="preserve">XCTHZFGSVQBHBW-IUCAKERBSA-N</t>
  </si>
  <si>
    <t xml:space="preserve">M+H, M+Na, M+H-H2O</t>
  </si>
  <si>
    <t xml:space="preserve">C11H22N2O3</t>
  </si>
  <si>
    <t xml:space="preserve">6.26_404.1356m/z</t>
  </si>
  <si>
    <t xml:space="preserve">Oxodipine</t>
  </si>
  <si>
    <t xml:space="preserve">HMDB0255993</t>
  </si>
  <si>
    <t xml:space="preserve">CCOC(=O)C1=C(C)NC(C)=C(C1C1=C2OCOC2=CC=C1)C(=O)OC</t>
  </si>
  <si>
    <t xml:space="preserve">MSOAVHHAZCMHDI-UHFFFAOYSA-N</t>
  </si>
  <si>
    <t xml:space="preserve">C19H21NO6</t>
  </si>
  <si>
    <t xml:space="preserve">3.69_229.1550m/z</t>
  </si>
  <si>
    <t xml:space="preserve">Pro Ile</t>
  </si>
  <si>
    <t xml:space="preserve">CCC(C)C(C(=O)O)NC(=O)C1CCCN1</t>
  </si>
  <si>
    <t xml:space="preserve">OCYROESYHWUPBP-VGMNWLOBSA-N</t>
  </si>
  <si>
    <t xml:space="preserve">M+H</t>
  </si>
  <si>
    <t xml:space="preserve">C11H20N2O3</t>
  </si>
  <si>
    <t xml:space="preserve">14.45_106.0534n</t>
  </si>
  <si>
    <t xml:space="preserve">2-Methyleneglutaronitrile</t>
  </si>
  <si>
    <t xml:space="preserve">HMDB0245227</t>
  </si>
  <si>
    <t xml:space="preserve">C=C(CCC#N)C#N</t>
  </si>
  <si>
    <t xml:space="preserve">NGCJVMZXRCLPRQ-UHFFFAOYSA-N</t>
  </si>
  <si>
    <t xml:space="preserve">Organic nitrogen compounds</t>
  </si>
  <si>
    <t xml:space="preserve">Organonitrogen compounds</t>
  </si>
  <si>
    <t xml:space="preserve">Organic cyanides</t>
  </si>
  <si>
    <t xml:space="preserve">C6H6N2</t>
  </si>
  <si>
    <t xml:space="preserve">4.24_315.1350m/z</t>
  </si>
  <si>
    <t xml:space="preserve">Panaquinquecol 7</t>
  </si>
  <si>
    <t xml:space="preserve">HMDB0041201</t>
  </si>
  <si>
    <t xml:space="preserve">LMFA05000688</t>
  </si>
  <si>
    <t xml:space="preserve">155519-47-4</t>
  </si>
  <si>
    <t xml:space="preserve">CCCCCCCC1C(CC#CC#CC(CCO)=O)O1</t>
  </si>
  <si>
    <t xml:space="preserve">XEUPFPHHPCQXFV-UHFFFAOYSA-N</t>
  </si>
  <si>
    <t xml:space="preserve">Fatty alcohols</t>
  </si>
  <si>
    <t xml:space="preserve">M+K</t>
  </si>
  <si>
    <t xml:space="preserve">C17H24O3</t>
  </si>
  <si>
    <t xml:space="preserve">6.94_623.2439m/z</t>
  </si>
  <si>
    <t xml:space="preserve">Netupitant</t>
  </si>
  <si>
    <t xml:space="preserve">HMDB0255552</t>
  </si>
  <si>
    <t xml:space="preserve">CN(C(=O)C(C)(C)C1=CC(=CC(=C1)C(F)(F)F)C(F)(F)F)C1=CN=C(C=C1C1=CC=CC=C1C)N1CCN(C)CC1</t>
  </si>
  <si>
    <t xml:space="preserve">WAXQNWCZJDTGBU-UHFFFAOYSA-N</t>
  </si>
  <si>
    <t xml:space="preserve">Diazinanes</t>
  </si>
  <si>
    <t xml:space="preserve">Piperazines</t>
  </si>
  <si>
    <t xml:space="preserve">C30H32F6N4O</t>
  </si>
  <si>
    <t xml:space="preserve">6.94_599.2439m/z</t>
  </si>
  <si>
    <t xml:space="preserve">Desmethylranitidine</t>
  </si>
  <si>
    <t xml:space="preserve">HMDB0246778</t>
  </si>
  <si>
    <t xml:space="preserve">66357-25-3</t>
  </si>
  <si>
    <t xml:space="preserve">CNCC1=CC=C(CSCCNC(NC)=C[N+]([O-])=O)O1</t>
  </si>
  <si>
    <t xml:space="preserve">WZLBVRXZNDXPPW-UHFFFAOYSA-N</t>
  </si>
  <si>
    <t xml:space="preserve">Amines</t>
  </si>
  <si>
    <t xml:space="preserve">C12H20N4O3S</t>
  </si>
  <si>
    <t xml:space="preserve">1.10_245.1138m/z</t>
  </si>
  <si>
    <t xml:space="preserve">Isoleucyl-Aspartate</t>
  </si>
  <si>
    <t xml:space="preserve">HMDB0028903</t>
  </si>
  <si>
    <t xml:space="preserve">CCC(C)C(N)C(=O)NC(CC(O)=O)C(O)=O</t>
  </si>
  <si>
    <t xml:space="preserve">WKXVAXOSIPTXEC-UHFFFAOYSA-N</t>
  </si>
  <si>
    <t xml:space="preserve">M-H</t>
  </si>
  <si>
    <t xml:space="preserve">C10H18N2O5</t>
  </si>
  <si>
    <t xml:space="preserve">2.44_218.1269n</t>
  </si>
  <si>
    <t xml:space="preserve">Ser-Leu</t>
  </si>
  <si>
    <t xml:space="preserve">HMDB0258242</t>
  </si>
  <si>
    <t xml:space="preserve">CC(C)CC(NC(=O)C(N)CO)C(O)=O</t>
  </si>
  <si>
    <t xml:space="preserve">NFDYGNFETJVMSE-UHFFFAOYSA-N</t>
  </si>
  <si>
    <t xml:space="preserve">M+H-H2O, M+H, M+Na</t>
  </si>
  <si>
    <t xml:space="preserve">C9H18N2O4</t>
  </si>
  <si>
    <t xml:space="preserve">1.46_260.1373n</t>
  </si>
  <si>
    <t xml:space="preserve">Leucyl-Glutamate</t>
  </si>
  <si>
    <t xml:space="preserve">HMDB0028928</t>
  </si>
  <si>
    <t xml:space="preserve">CC(C)CC(N)C(=O)NC(CCC(O)=O)C(O)=O</t>
  </si>
  <si>
    <t xml:space="preserve">NFNVDJGXRFEYTK-UHFFFAOYSA-N</t>
  </si>
  <si>
    <t xml:space="preserve">M+H-H2O, M+H</t>
  </si>
  <si>
    <t xml:space="preserve">5.10_678.5044n</t>
  </si>
  <si>
    <t xml:space="preserve">DG(17:0/PGE2/0:0)</t>
  </si>
  <si>
    <t xml:space="preserve">HMDB0295655</t>
  </si>
  <si>
    <t xml:space="preserve">CCCCCCCCCCCCCCCCC(=O)OC[C@H](CO)OC(=O)CCC\C=C/C[C@@H]1[C@@H](\C=C\[C@@H](O)CCCCC)[C@H](O)CC1=O</t>
  </si>
  <si>
    <t xml:space="preserve">RQQZNUILKPLEDG-KJIYMNJQSA-N</t>
  </si>
  <si>
    <t xml:space="preserve">M-H, M+FA-H</t>
  </si>
  <si>
    <t xml:space="preserve">C40H70O8</t>
  </si>
  <si>
    <t xml:space="preserve">6.87_643.2699m/z</t>
  </si>
  <si>
    <t xml:space="preserve">4-[(2r,5r)-5-(6-Aminopurin-9-Yl)-3,4-Dihydroxyoxolan-2-Yl]Butanamide</t>
  </si>
  <si>
    <t xml:space="preserve">HMDB0257574</t>
  </si>
  <si>
    <t xml:space="preserve">NC(=O)CCCC1OC(C(O)C1O)N1C=NC2=C1N=CN=C2N</t>
  </si>
  <si>
    <t xml:space="preserve">GECUAPJGZGRXSE-UHFFFAOYSA-N</t>
  </si>
  <si>
    <t xml:space="preserve">C13H18N6O4</t>
  </si>
  <si>
    <t xml:space="preserve">4.19_244.1782n</t>
  </si>
  <si>
    <t xml:space="preserve">Leucyl-Isoleucine</t>
  </si>
  <si>
    <t xml:space="preserve">HMDB0028932</t>
  </si>
  <si>
    <t xml:space="preserve">CCC(C)C(NC(=O)C(N)CC(C)C)C(O)=O</t>
  </si>
  <si>
    <t xml:space="preserve">AZLASBBHHSLQDB-UHFFFAOYSA-N</t>
  </si>
  <si>
    <t xml:space="preserve">M-H, M+FA-H, 2M-H</t>
  </si>
  <si>
    <t xml:space="preserve">C12H24N2O3</t>
  </si>
  <si>
    <t xml:space="preserve">0.76_276.0957n</t>
  </si>
  <si>
    <t xml:space="preserve">Gamma-Glutamylglutamic Acid</t>
  </si>
  <si>
    <t xml:space="preserve">HMDB0011737</t>
  </si>
  <si>
    <t xml:space="preserve">C05282</t>
  </si>
  <si>
    <t xml:space="preserve">1116-22-9</t>
  </si>
  <si>
    <t xml:space="preserve">N[C@@H](CCC(=O)N[C@@H](CCC(O)=O)C(O)=O)C(O)=O</t>
  </si>
  <si>
    <t xml:space="preserve">OWQDWQKWSLFFFR-WDSKDSINSA-N</t>
  </si>
  <si>
    <t xml:space="preserve">M+H, M+Na</t>
  </si>
  <si>
    <t xml:space="preserve">C10H16N2O7</t>
  </si>
  <si>
    <t xml:space="preserve">1.05_124.0396m/z</t>
  </si>
  <si>
    <t xml:space="preserve">Nicotinic Acid</t>
  </si>
  <si>
    <t xml:space="preserve">HMDB0001488</t>
  </si>
  <si>
    <t xml:space="preserve">C00253</t>
  </si>
  <si>
    <t xml:space="preserve">hame00760</t>
  </si>
  <si>
    <t xml:space="preserve">Nicotinate and nicotinamide metabolism</t>
  </si>
  <si>
    <t xml:space="preserve">59-67-6</t>
  </si>
  <si>
    <t xml:space="preserve">OC(=O)C1=CN=CC=C1</t>
  </si>
  <si>
    <t xml:space="preserve">PVNIIMVLHYAWGP-UHFFFAOYSA-N</t>
  </si>
  <si>
    <t xml:space="preserve">Pyridines and derivatives</t>
  </si>
  <si>
    <t xml:space="preserve">Pyridinecarboxylic acids and derivatives</t>
  </si>
  <si>
    <t xml:space="preserve">C6H5NO2</t>
  </si>
  <si>
    <t xml:space="preserve">1.83_317.1590n</t>
  </si>
  <si>
    <t xml:space="preserve">Ala Glu Val</t>
  </si>
  <si>
    <t xml:space="preserve">CC(C)C(C(=O)O)NC(=O)C(CCC(=O)O)NC(=O)C(C)N</t>
  </si>
  <si>
    <t xml:space="preserve">OMMDTNGURYRDAC-NRPADANISA-N</t>
  </si>
  <si>
    <t xml:space="preserve">C13H23N3O6</t>
  </si>
  <si>
    <t xml:space="preserve">1.37_275.0751m/z</t>
  </si>
  <si>
    <t xml:space="preserve">Deoxyinosine</t>
  </si>
  <si>
    <t xml:space="preserve">HMDB0000071</t>
  </si>
  <si>
    <t xml:space="preserve">C05512</t>
  </si>
  <si>
    <t xml:space="preserve">hame00230,hame02010</t>
  </si>
  <si>
    <t xml:space="preserve">Purine metabolism|ABC transporters</t>
  </si>
  <si>
    <t xml:space="preserve">890-38-0</t>
  </si>
  <si>
    <t xml:space="preserve">OC[C@H]1O[C@H](C[C@@H]1O)N1C=NC2=C1N=CNC2=O</t>
  </si>
  <si>
    <t xml:space="preserve">VGONTNSXDCQUGY-RRKCRQDMSA-N</t>
  </si>
  <si>
    <t xml:space="preserve">Nucleosides, nucleotides, and analogues</t>
  </si>
  <si>
    <t xml:space="preserve">Purine nucleosides</t>
  </si>
  <si>
    <t xml:space="preserve">Purine 2'-deoxyribonucleosides</t>
  </si>
  <si>
    <t xml:space="preserve">M+Na</t>
  </si>
  <si>
    <t xml:space="preserve">C10H12N4O4</t>
  </si>
  <si>
    <t xml:space="preserve">6.37_316.1221m/z</t>
  </si>
  <si>
    <t xml:space="preserve">Triticonazole</t>
  </si>
  <si>
    <t xml:space="preserve">HMDB0259283</t>
  </si>
  <si>
    <t xml:space="preserve">CC1(C)CCC(=CC2=CC=C(Cl)C=C2)C1(O)CN1C=NC=N1</t>
  </si>
  <si>
    <t xml:space="preserve">PPDBOQMNKNNODG-UHFFFAOYSA-N</t>
  </si>
  <si>
    <t xml:space="preserve">Halobenzenes</t>
  </si>
  <si>
    <t xml:space="preserve">C17H20ClN3O</t>
  </si>
  <si>
    <t xml:space="preserve">6.48_619.2703m/z</t>
  </si>
  <si>
    <t xml:space="preserve">N-(Dimethylamino)Methylene-9-((2-Hydroxy-1-(Hydroxymethyl)Ethoxy)Methyl)Guanine</t>
  </si>
  <si>
    <t xml:space="preserve">HMDB0247659</t>
  </si>
  <si>
    <t xml:space="preserve">CN(C)C=NC1=NC2=C(N=CN2COC(CO)CO)C(=O)N1</t>
  </si>
  <si>
    <t xml:space="preserve">GDQDKKCGUKUZBT-UHFFFAOYSA-N</t>
  </si>
  <si>
    <t xml:space="preserve">C12H18N6O4</t>
  </si>
  <si>
    <t xml:space="preserve">7.03_402.1564m/z</t>
  </si>
  <si>
    <t xml:space="preserve">2,3-Dihydroxy-9,10,11-Trimethoxy-5,8,13,13a-Tetrahydroxy-6h-Dibenzo(A,G)Chinolysin</t>
  </si>
  <si>
    <t xml:space="preserve">HMDB0253590</t>
  </si>
  <si>
    <t xml:space="preserve">COC1=C(OC)C(OC)=C2CN3CCC4=CC(O)=C(O)C=C4C3CC2=C1</t>
  </si>
  <si>
    <t xml:space="preserve">UQXJJQQSFYDYDW-UHFFFAOYSA-N</t>
  </si>
  <si>
    <t xml:space="preserve">C20H23NO5</t>
  </si>
  <si>
    <t xml:space="preserve">7.68_373.1532n</t>
  </si>
  <si>
    <t xml:space="preserve">Sepimostat</t>
  </si>
  <si>
    <t xml:space="preserve">HMDB0258240</t>
  </si>
  <si>
    <t xml:space="preserve">NC(=N)C1=CC2=C(C=C1)C=C(OC(=O)C1=CC=C(NC3=NCCN3)C=C1)C=C2</t>
  </si>
  <si>
    <t xml:space="preserve">QMRJOIUGPCVZPH-UHFFFAOYSA-N</t>
  </si>
  <si>
    <t xml:space="preserve">C21H19N5O2</t>
  </si>
  <si>
    <t xml:space="preserve">5.86_294.1380m/z</t>
  </si>
  <si>
    <t xml:space="preserve">Dihydroflavopereirine</t>
  </si>
  <si>
    <t xml:space="preserve">98890-48-3</t>
  </si>
  <si>
    <t xml:space="preserve">CCC1=C[N+]2=C(C=C1)C3=C(CC2)C4=CC=CC=C4N3</t>
  </si>
  <si>
    <t xml:space="preserve">DAGPUIPHACXCSU-UHFFFAOYSA-O</t>
  </si>
  <si>
    <t xml:space="preserve">Pyridoindoles</t>
  </si>
  <si>
    <t xml:space="preserve">C17H17N2+</t>
  </si>
  <si>
    <t xml:space="preserve">8.49_318.1743m/z</t>
  </si>
  <si>
    <t xml:space="preserve">Chloroquine</t>
  </si>
  <si>
    <t xml:space="preserve">HMDB0014746</t>
  </si>
  <si>
    <t xml:space="preserve">C07625</t>
  </si>
  <si>
    <t xml:space="preserve">54-05-7</t>
  </si>
  <si>
    <t xml:space="preserve">CCN(CC)CCCC(C)NC1=C2C=CC(Cl)=CC2=NC=C1</t>
  </si>
  <si>
    <t xml:space="preserve">WHTVZRBIWZFKQO-UHFFFAOYSA-N</t>
  </si>
  <si>
    <t xml:space="preserve">C18H26ClN3</t>
  </si>
  <si>
    <t xml:space="preserve">6.80_524.1155m/z</t>
  </si>
  <si>
    <t xml:space="preserve">Petunidin 3-Galactoside</t>
  </si>
  <si>
    <t xml:space="preserve">HMDB0038093</t>
  </si>
  <si>
    <t xml:space="preserve">28500-02-9</t>
  </si>
  <si>
    <t xml:space="preserve">COC1=C(O)C(O)=CC(=C1)C1=[O+]C2=C(C=C1OC1OC(CO)C(O)C(O)C1O)C(O)=CC(O)=C2</t>
  </si>
  <si>
    <t xml:space="preserve">CCQDWIRWKWIUKK-UHFFFAOYSA-O</t>
  </si>
  <si>
    <t xml:space="preserve">Flavonoids</t>
  </si>
  <si>
    <t xml:space="preserve">Flavonoid glycosides</t>
  </si>
  <si>
    <t xml:space="preserve">C22H23O12+</t>
  </si>
  <si>
    <t xml:space="preserve">2.85_232.1425n</t>
  </si>
  <si>
    <t xml:space="preserve">Threonylisoleucine</t>
  </si>
  <si>
    <t xml:space="preserve">HMDB0029064</t>
  </si>
  <si>
    <t xml:space="preserve">129050-49-3</t>
  </si>
  <si>
    <t xml:space="preserve">CC[C@H](C)[C@H](NC(=O)[C@@H](N)[C@@H](C)O)C(O)=O</t>
  </si>
  <si>
    <t xml:space="preserve">LUMXICQAOKVQOB-YWIQKCBGSA-N</t>
  </si>
  <si>
    <t xml:space="preserve">C10H20N2O4</t>
  </si>
  <si>
    <t xml:space="preserve">7.04_380.1472m/z</t>
  </si>
  <si>
    <t xml:space="preserve">7-Acetylintermedine</t>
  </si>
  <si>
    <t xml:space="preserve">HMDB0302036</t>
  </si>
  <si>
    <t xml:space="preserve">C16750</t>
  </si>
  <si>
    <t xml:space="preserve">74243-01-9</t>
  </si>
  <si>
    <t xml:space="preserve">CC(C)[C@](O)([C@@H](C)O)C(=O)OCC1=CCN2CC[C@@H](OC(C)=O)[C@@H]12</t>
  </si>
  <si>
    <t xml:space="preserve">RKDOFSJTBIDAHX-CYHLAULCSA-N</t>
  </si>
  <si>
    <t xml:space="preserve">Alkaloids and derivatives</t>
  </si>
  <si>
    <t xml:space="preserve">C17H27NO6</t>
  </si>
  <si>
    <t xml:space="preserve">8.63_547.2802m/z</t>
  </si>
  <si>
    <t xml:space="preserve">Hordatine A</t>
  </si>
  <si>
    <t xml:space="preserve">HMDB0030461</t>
  </si>
  <si>
    <t xml:space="preserve">C08307</t>
  </si>
  <si>
    <t xml:space="preserve">7073-64-5</t>
  </si>
  <si>
    <t xml:space="preserve">NC(=N)NCCCCNC(=O)\C=C/C1=CC(O)=C2OC(C(C(=O)NCCCCNC(N)=N)C2=C1)C1=CC=C(O)C=C1</t>
  </si>
  <si>
    <t xml:space="preserve">FCINNGNGQHGDFW-YHYXMXQVSA-N</t>
  </si>
  <si>
    <t xml:space="preserve">2-arylbenzofuran flavonoids</t>
  </si>
  <si>
    <t xml:space="preserve">M-H2O-H</t>
  </si>
  <si>
    <t xml:space="preserve">C28H38N8O5</t>
  </si>
  <si>
    <t xml:space="preserve">3.69_332.1818m/z</t>
  </si>
  <si>
    <t xml:space="preserve">Asp Val Val</t>
  </si>
  <si>
    <t xml:space="preserve">CC(C)C(C(=O)NC(C(C)C)C(=O)O)NC(=O)C(CC(=O)O)N</t>
  </si>
  <si>
    <t xml:space="preserve">ZUNMTUPRQMWMHX-LSJOCFKGSA-N</t>
  </si>
  <si>
    <t xml:space="preserve">C14H25N3O6</t>
  </si>
  <si>
    <t xml:space="preserve">6.94_635.3038m/z</t>
  </si>
  <si>
    <t xml:space="preserve">Fluvoxamine</t>
  </si>
  <si>
    <t xml:space="preserve">C07571</t>
  </si>
  <si>
    <t xml:space="preserve">54739-18-3</t>
  </si>
  <si>
    <t xml:space="preserve">COCCCCC(=NOCCN)C1=CC=C(C=C1)C(F)(F)F</t>
  </si>
  <si>
    <t xml:space="preserve">CJOFXWAVKWHTFT-XSFVSMFZSA-N</t>
  </si>
  <si>
    <t xml:space="preserve">Trifluoromethylbenzenes</t>
  </si>
  <si>
    <t xml:space="preserve">C15H21F3N2O2</t>
  </si>
  <si>
    <t xml:space="preserve">4.06_263.1397m/z</t>
  </si>
  <si>
    <t xml:space="preserve">L-Phenylalanyl-L-Proline</t>
  </si>
  <si>
    <t xml:space="preserve">HMDB0011177</t>
  </si>
  <si>
    <t xml:space="preserve">7669-65-0</t>
  </si>
  <si>
    <t xml:space="preserve">C1CC(N(C1)C(=O)C(CC2=CC=CC=C2)[NH3+])C(=O)[O-]</t>
  </si>
  <si>
    <t xml:space="preserve">WEQJQNWXCSUVMA-UHFFFAOYSA-N</t>
  </si>
  <si>
    <t xml:space="preserve">C14H18N2O3</t>
  </si>
  <si>
    <t xml:space="preserve">6.15_1055.4302n</t>
  </si>
  <si>
    <t xml:space="preserve">Vasopressin</t>
  </si>
  <si>
    <t xml:space="preserve">HMDB0001980</t>
  </si>
  <si>
    <t xml:space="preserve">C00840</t>
  </si>
  <si>
    <t xml:space="preserve">11000-17-2</t>
  </si>
  <si>
    <t xml:space="preserve">NCCCCC(NC(=O)[C@@H]1CCCN1C(=O)[C@@H]1CSSC[C@H](N)C(=O)N[C@@H](CC2=CC=C(O)C=C2)C(=O)N[C@@H](CC2=CC=CC=C2)C(=O)N[C@@H](CCC(N)=O)C(=O)N[C@@H](CC(N)=O)C(=O)N1)C(=O)NCC(N)=O</t>
  </si>
  <si>
    <t xml:space="preserve">BJFIDCADFRDPIO-ZCCHBGLBSA-N</t>
  </si>
  <si>
    <t xml:space="preserve">C46H65N13O12S2</t>
  </si>
  <si>
    <t xml:space="preserve">0.70_147.0532n</t>
  </si>
  <si>
    <t xml:space="preserve">L-Glutamic Acid</t>
  </si>
  <si>
    <t xml:space="preserve">HMDB0000148</t>
  </si>
  <si>
    <t xml:space="preserve">C00025</t>
  </si>
  <si>
    <t xml:space="preserve">hame00220,hame00250,hame00330,hame00340,hame00430,hame00470,hame00480,hame00630,hame00650,hame00860,hame00910,hame00970,hame02010,hame04068,hame04080</t>
  </si>
  <si>
    <t xml:space="preserve">Arginine biosynthesis|Alanine, aspartate and glutamate metabolism|Arginine and proline metabolism|Histidine metabolism|Taurine and hypotaurine metabolism|D-Amino acid metabolism|Glutathione metabolism|Glyoxylate and dicarboxylate metabolism|Butanoate metabolism|Porphyrin metabolism|Nitrogen metabolism|Aminoacyl-tRNA biosynthesis|ABC transporters|FoxO signaling pathway|Neuroactive ligand-receptor interaction</t>
  </si>
  <si>
    <t xml:space="preserve">56-86-0</t>
  </si>
  <si>
    <t xml:space="preserve">N[C@@H](CCC(O)=O)C(O)=O</t>
  </si>
  <si>
    <t xml:space="preserve">WHUUTDBJXJRKMK-VKHMYHEASA-N</t>
  </si>
  <si>
    <t xml:space="preserve">C5H9NO4</t>
  </si>
  <si>
    <t xml:space="preserve">3.35_230.1634n</t>
  </si>
  <si>
    <t xml:space="preserve">Ile Val</t>
  </si>
  <si>
    <t xml:space="preserve">CCC(C)C(C(=O)NC(C(C)C)C(=O)O)N</t>
  </si>
  <si>
    <t xml:space="preserve">BCXBIONYYJCSDF-CIUDSAMLSA-N</t>
  </si>
  <si>
    <t xml:space="preserve">0.75_255.1339m/z</t>
  </si>
  <si>
    <t xml:space="preserve">L-Furosine</t>
  </si>
  <si>
    <t xml:space="preserve">HMDB0029390</t>
  </si>
  <si>
    <t xml:space="preserve">19746-33-9</t>
  </si>
  <si>
    <t xml:space="preserve">NC(CCCCNCC(=O)C1=CC=CO1)C(O)=O</t>
  </si>
  <si>
    <t xml:space="preserve">YQHPCDPFXQXCMV-UHFFFAOYSA-N</t>
  </si>
  <si>
    <t xml:space="preserve">C12H18N2O4</t>
  </si>
  <si>
    <t xml:space="preserve">7.10_617.2929m/z</t>
  </si>
  <si>
    <t xml:space="preserve">PI(16:0/0:0)</t>
  </si>
  <si>
    <t xml:space="preserve">HMDB0061695</t>
  </si>
  <si>
    <t xml:space="preserve">LMGP06050002</t>
  </si>
  <si>
    <t xml:space="preserve">1425501-12-7</t>
  </si>
  <si>
    <t xml:space="preserve">[C@]([H])(O)(COP(=O)(O)O[C@H]1[C@H](O)[C@@H](O)[C@H](O)[C@@H](O)[C@H]1O)COC(CCCCCCCCCCCCCCC)=O</t>
  </si>
  <si>
    <t xml:space="preserve">UOXRPRZMAROFPH-OAOCPRPWSA-N</t>
  </si>
  <si>
    <t xml:space="preserve">C25H49O12P</t>
  </si>
  <si>
    <t xml:space="preserve">3.83_230.1625n</t>
  </si>
  <si>
    <t xml:space="preserve">Valylisoleucine</t>
  </si>
  <si>
    <t xml:space="preserve">HMDB0029130</t>
  </si>
  <si>
    <t xml:space="preserve">20556-14-3</t>
  </si>
  <si>
    <t xml:space="preserve">CC[C@H](C)[C@H](NC(=O)[C@@H](N)C(C)C)C(O)=O</t>
  </si>
  <si>
    <t xml:space="preserve">PNVLWFYAPWAQMU-CIUDSAMLSA-N</t>
  </si>
  <si>
    <t xml:space="preserve">4.19_346.1974m/z</t>
  </si>
  <si>
    <t xml:space="preserve">Asp Leu Val</t>
  </si>
  <si>
    <t xml:space="preserve">CC(C)CC(C(=O)NC(C(C)C)C(=O)O)NC(=O)C(CC(=O)O)N</t>
  </si>
  <si>
    <t xml:space="preserve">QNMKWNONJGKJJC-NHCYSSNCSA-N</t>
  </si>
  <si>
    <t xml:space="preserve">C15H27N3O6</t>
  </si>
  <si>
    <t xml:space="preserve">2.81_188.1163n</t>
  </si>
  <si>
    <t xml:space="preserve">Glycyl-Isoleucine</t>
  </si>
  <si>
    <t xml:space="preserve">HMDB0028844</t>
  </si>
  <si>
    <t xml:space="preserve">CCC(C)C(N=C(O)CN)C(O)=O</t>
  </si>
  <si>
    <t xml:space="preserve">KGVHCTWYMPWEGN-UHFFFAOYSA-N</t>
  </si>
  <si>
    <t xml:space="preserve">C8H16N2O3</t>
  </si>
  <si>
    <t xml:space="preserve">2.78_201.1235m/z</t>
  </si>
  <si>
    <t xml:space="preserve">Alanylleucine</t>
  </si>
  <si>
    <t xml:space="preserve">HMDB0028691</t>
  </si>
  <si>
    <t xml:space="preserve">3303-34-2</t>
  </si>
  <si>
    <t xml:space="preserve">CC(C)C[C@H](NC(=O)[C@H](C)N)C(O)=O</t>
  </si>
  <si>
    <t xml:space="preserve">RDIKFPRVLJLMER-BQBZGAKWSA-N</t>
  </si>
  <si>
    <t xml:space="preserve">C9H18N2O3</t>
  </si>
  <si>
    <t xml:space="preserve">3.46_331.2111n</t>
  </si>
  <si>
    <t xml:space="preserve">Val Ile Thr</t>
  </si>
  <si>
    <t xml:space="preserve">CCC(C)C(C(=O)NC(C(C)O)C(=O)O)NC(=O)C(C(C)C)N</t>
  </si>
  <si>
    <t xml:space="preserve">APQIVBCUIUDSMB-OSUNSFLBSA-N</t>
  </si>
  <si>
    <t xml:space="preserve">C15H29N3O5</t>
  </si>
  <si>
    <t xml:space="preserve">7.96_627.2755m/z</t>
  </si>
  <si>
    <t xml:space="preserve">Ranitidine</t>
  </si>
  <si>
    <t xml:space="preserve">HMDB0001930</t>
  </si>
  <si>
    <t xml:space="preserve">C07233</t>
  </si>
  <si>
    <t xml:space="preserve">82530-72-1</t>
  </si>
  <si>
    <t xml:space="preserve">CN\C(NCCSCC1=CC=C(CN(C)C)O1)=C/[N+]([O-])=O</t>
  </si>
  <si>
    <t xml:space="preserve">VMXUWOKSQNHOCA-UKTHLTGXSA-N</t>
  </si>
  <si>
    <t xml:space="preserve">C13H22N4O3S</t>
  </si>
  <si>
    <t xml:space="preserve">7.11_639.2756m/z</t>
  </si>
  <si>
    <t xml:space="preserve">Hildgardtene</t>
  </si>
  <si>
    <t xml:space="preserve">LMPK12020282</t>
  </si>
  <si>
    <t xml:space="preserve">C12OC(C(C)=C)CC=1C1O[C@H](C3C=CC=CC=3)C=CC=1C(OC)=C2</t>
  </si>
  <si>
    <t xml:space="preserve">VVPMOJMAMXGTAR-ZENAZSQFSA-N</t>
  </si>
  <si>
    <t xml:space="preserve">O-methylated flavonoids</t>
  </si>
  <si>
    <t xml:space="preserve">C21H20O3</t>
  </si>
  <si>
    <t xml:space="preserve">7.04_368.1144m/z</t>
  </si>
  <si>
    <t xml:space="preserve">(S)-Neolitsine</t>
  </si>
  <si>
    <t xml:space="preserve">HMDB0033358</t>
  </si>
  <si>
    <t xml:space="preserve">2466-42-4</t>
  </si>
  <si>
    <t xml:space="preserve">CN1CCC2=CC3=C(OCO3)C3=C2C1CC1=CC2=C(OCO2)C=C31</t>
  </si>
  <si>
    <t xml:space="preserve">GKEOKAJRKHTDOS-UHFFFAOYSA-N</t>
  </si>
  <si>
    <t xml:space="preserve">Aporphines</t>
  </si>
  <si>
    <t xml:space="preserve">C19H17NO4</t>
  </si>
  <si>
    <t xml:space="preserve">1.51_303.1433n</t>
  </si>
  <si>
    <t xml:space="preserve">N5-Acetyl-N2-Gamma-L-Glutamyl-L-Ornithine</t>
  </si>
  <si>
    <t xml:space="preserve">HMDB0039423</t>
  </si>
  <si>
    <t xml:space="preserve">102148-92-5</t>
  </si>
  <si>
    <t xml:space="preserve">CC(=O)NCCCC(NC(=O)CCC(N)C(O)=O)C(O)=O</t>
  </si>
  <si>
    <t xml:space="preserve">JAAJGIIASALJIT-UHFFFAOYSA-N</t>
  </si>
  <si>
    <t xml:space="preserve">C12H21N3O6</t>
  </si>
  <si>
    <t xml:space="preserve">0.81_246.1216n</t>
  </si>
  <si>
    <t xml:space="preserve">Valylglutamic Acid</t>
  </si>
  <si>
    <t xml:space="preserve">HMDB0029126</t>
  </si>
  <si>
    <t xml:space="preserve">3062-07-5</t>
  </si>
  <si>
    <t xml:space="preserve">CC(C)[C@H](N)C(=O)N[C@@H](CCC(O)=O)C(O)=O</t>
  </si>
  <si>
    <t xml:space="preserve">UPJONISHZRADBH-XPUUQOCRSA-N</t>
  </si>
  <si>
    <t xml:space="preserve">0.76_144.1020m/z</t>
  </si>
  <si>
    <t xml:space="preserve">(R)-1-Methylpiperidine-2-Carboxylic Acid</t>
  </si>
  <si>
    <t xml:space="preserve">HMDB0242107</t>
  </si>
  <si>
    <t xml:space="preserve">CN1CCCC[C@@H]1C(O)=O</t>
  </si>
  <si>
    <t xml:space="preserve">BPSLZWSRHTULGU-ZCFIWIBFSA-N</t>
  </si>
  <si>
    <t xml:space="preserve">C7H13NO2</t>
  </si>
  <si>
    <t xml:space="preserve">0.78_160.1333m/z</t>
  </si>
  <si>
    <t xml:space="preserve">8-Aminocaprylic Acid</t>
  </si>
  <si>
    <t xml:space="preserve">HMDB0247418</t>
  </si>
  <si>
    <t xml:space="preserve">LMFA01100059</t>
  </si>
  <si>
    <t xml:space="preserve">1002-57-9</t>
  </si>
  <si>
    <t xml:space="preserve">OC(CCCCCCCN)=O</t>
  </si>
  <si>
    <t xml:space="preserve">UQXNEWQGGVUVQA-UHFFFAOYSA-N</t>
  </si>
  <si>
    <t xml:space="preserve">C8H17NO2</t>
  </si>
  <si>
    <t xml:space="preserve">3.54_318.1663m/z</t>
  </si>
  <si>
    <t xml:space="preserve">Ala Asp Ile</t>
  </si>
  <si>
    <t xml:space="preserve">CCC(C)C(C(=O)O)NC(=O)C(CC(=O)O)NC(=O)C(C)N</t>
  </si>
  <si>
    <t xml:space="preserve">GWFSQQNGMPGBEF-GHCJXIJMSA-N</t>
  </si>
  <si>
    <t xml:space="preserve">Peptidomimetics</t>
  </si>
  <si>
    <t xml:space="preserve">Hybrid peptides</t>
  </si>
  <si>
    <t xml:space="preserve">7.48_336.1308m/z</t>
  </si>
  <si>
    <t xml:space="preserve">S-(3-Methylbutanoyl)-Dihydrolipoamide-E</t>
  </si>
  <si>
    <t xml:space="preserve">HMDB0006867</t>
  </si>
  <si>
    <t xml:space="preserve">C05119</t>
  </si>
  <si>
    <t xml:space="preserve">CC(C)CC(=O)SCCC(S)CCCCC(N)=O</t>
  </si>
  <si>
    <t xml:space="preserve">KMUSXGCRMMQDBP-UHFFFAOYSA-N</t>
  </si>
  <si>
    <t xml:space="preserve">Fatty acyl thioesters</t>
  </si>
  <si>
    <t xml:space="preserve">C13H25NO2S2</t>
  </si>
  <si>
    <t xml:space="preserve">1.51_318.1663m/z</t>
  </si>
  <si>
    <t xml:space="preserve">Esmolol</t>
  </si>
  <si>
    <t xml:space="preserve">HMDB0014333</t>
  </si>
  <si>
    <t xml:space="preserve">C06980</t>
  </si>
  <si>
    <t xml:space="preserve">103598-03-4</t>
  </si>
  <si>
    <t xml:space="preserve">COC(=O)CCC1=CC=C(OCC(O)CNC(C)C)C=C1</t>
  </si>
  <si>
    <t xml:space="preserve">AQNDDEOPVVGCPG-UHFFFAOYSA-N</t>
  </si>
  <si>
    <t xml:space="preserve">Phenol ethers</t>
  </si>
  <si>
    <t xml:space="preserve">C16H25NO4</t>
  </si>
  <si>
    <t xml:space="preserve">1.84_316.1513m/z</t>
  </si>
  <si>
    <t xml:space="preserve">Ala Ile Asp</t>
  </si>
  <si>
    <t xml:space="preserve">CCC(C)C(C(=O)NC(CC(=O)O)C(=O)O)NC(=O)C(C)N</t>
  </si>
  <si>
    <t xml:space="preserve">HQJKCXHQNUCKMY-GHCJXIJMSA-N</t>
  </si>
  <si>
    <t xml:space="preserve">3.69_330.1672m/z</t>
  </si>
  <si>
    <t xml:space="preserve">Ala Glu Leu</t>
  </si>
  <si>
    <t xml:space="preserve">CC(C)CC(C(=O)O)NC(=O)C(CCC(=O)O)NC(=O)C(C)N</t>
  </si>
  <si>
    <t xml:space="preserve">HXNNRBHASOSVPG-GUBZILKMSA-N</t>
  </si>
  <si>
    <t xml:space="preserve">2.96_384.1151m/z</t>
  </si>
  <si>
    <t xml:space="preserve">Succinyladenosine</t>
  </si>
  <si>
    <t xml:space="preserve">HMDB0000912</t>
  </si>
  <si>
    <t xml:space="preserve">4542-23-8</t>
  </si>
  <si>
    <t xml:space="preserve">OC[C@H]1O[C@H]([C@H](O)[C@@H]1O)N1C=NC2=C(N[C@@H](CC(O)=O)C(O)=O)N=CN=C12</t>
  </si>
  <si>
    <t xml:space="preserve">VKGZCEJTCKHMRL-VWJPMABRSA-N</t>
  </si>
  <si>
    <t xml:space="preserve">C14H17N5O8</t>
  </si>
  <si>
    <t xml:space="preserve">6.86_299.1167n</t>
  </si>
  <si>
    <t xml:space="preserve">N-Cis-Caffeoyltyramine</t>
  </si>
  <si>
    <t xml:space="preserve">HMDB0033026</t>
  </si>
  <si>
    <t xml:space="preserve">219773-48-5</t>
  </si>
  <si>
    <t xml:space="preserve">OC1=CC=C(CCNC(=O)\C=C\C2=CC=C(O)C(O)=C2)C=C1</t>
  </si>
  <si>
    <t xml:space="preserve">VSHUQLRHTJOKTA-XBXARRHUSA-N</t>
  </si>
  <si>
    <t xml:space="preserve">Cinnamic acids and derivatives</t>
  </si>
  <si>
    <t xml:space="preserve">Hydroxycinnamic acids and derivatives</t>
  </si>
  <si>
    <t xml:space="preserve">C17H17NO4</t>
  </si>
  <si>
    <t xml:space="preserve">1.10_232.1416n</t>
  </si>
  <si>
    <t xml:space="preserve">Isoleucyl-Threonine</t>
  </si>
  <si>
    <t xml:space="preserve">HMDB0028917</t>
  </si>
  <si>
    <t xml:space="preserve">CCC(C)C(N)C(=O)NC(C(C)O)C(O)=O</t>
  </si>
  <si>
    <t xml:space="preserve">DRCKHKZYDLJYFQ-UHFFFAOYSA-N</t>
  </si>
  <si>
    <t xml:space="preserve">2.53_245.1377n</t>
  </si>
  <si>
    <t xml:space="preserve">Asparaginylisoleucine</t>
  </si>
  <si>
    <t xml:space="preserve">HMDB0028734</t>
  </si>
  <si>
    <t xml:space="preserve">438533-59-6</t>
  </si>
  <si>
    <t xml:space="preserve">CC[C@H](C)[C@H](NC(=O)[C@@H](N)CC(N)=O)C(O)=O</t>
  </si>
  <si>
    <t xml:space="preserve">MQLZLIYPFDIDMZ-HAFWLYHUSA-N</t>
  </si>
  <si>
    <t xml:space="preserve">C10H19N3O4</t>
  </si>
  <si>
    <t xml:space="preserve">6.13_611.2671m/z</t>
  </si>
  <si>
    <t xml:space="preserve">2,5-Dibenzyl-3-Hydroxy-6-Methoxypyrazine</t>
  </si>
  <si>
    <t xml:space="preserve">HMDB0041543</t>
  </si>
  <si>
    <t xml:space="preserve">132213-65-1</t>
  </si>
  <si>
    <t xml:space="preserve">COC1=C(CC2=CC=CC=C2)NC(=O)C(CC2=CC=CC=C2)=N1</t>
  </si>
  <si>
    <t xml:space="preserve">HDGSSKSUEFFBRK-UHFFFAOYSA-N</t>
  </si>
  <si>
    <t xml:space="preserve">Diazines</t>
  </si>
  <si>
    <t xml:space="preserve">Pyrazines</t>
  </si>
  <si>
    <t xml:space="preserve">C19H18N2O2</t>
  </si>
  <si>
    <t xml:space="preserve">0.79_231.0980m/z</t>
  </si>
  <si>
    <t xml:space="preserve">Pro Ala</t>
  </si>
  <si>
    <t xml:space="preserve">CC(C(=O)O)NC(=O)C1CCCN1</t>
  </si>
  <si>
    <t xml:space="preserve">FELJDCNGZFDUNR-WDSKDSINSA-N</t>
  </si>
  <si>
    <t xml:space="preserve">C8H14N2O3</t>
  </si>
  <si>
    <t xml:space="preserve">5.91_302.1066m/z</t>
  </si>
  <si>
    <t xml:space="preserve">N-(3-Oxo-Octanoyl)-Homoserine Thiolactone</t>
  </si>
  <si>
    <t xml:space="preserve">LMFA08020239</t>
  </si>
  <si>
    <t xml:space="preserve">[C@@H]1(CCSC1=O)NC(=O)CC(=O)CCCCC</t>
  </si>
  <si>
    <t xml:space="preserve">JNXSGGJSWVMKAD-JTQLQIEISA-N</t>
  </si>
  <si>
    <t xml:space="preserve">C12H19NO3S</t>
  </si>
  <si>
    <t xml:space="preserve">2.31_203.1393m/z</t>
  </si>
  <si>
    <t xml:space="preserve">Alanylisoleucine</t>
  </si>
  <si>
    <t xml:space="preserve">HMDB0028690</t>
  </si>
  <si>
    <t xml:space="preserve">29727-65-9</t>
  </si>
  <si>
    <t xml:space="preserve">CC[C@H](C)[C@H](NC(=O)[C@H](C)N)C(O)=O</t>
  </si>
  <si>
    <t xml:space="preserve">ZSOICJZJSRWNHX-ACZMJKKPSA-N</t>
  </si>
  <si>
    <t xml:space="preserve">1.83_216.1467n</t>
  </si>
  <si>
    <t xml:space="preserve">Valylvaline</t>
  </si>
  <si>
    <t xml:space="preserve">HMDB0029140</t>
  </si>
  <si>
    <t xml:space="preserve">3918-94-3</t>
  </si>
  <si>
    <t xml:space="preserve">CC(C)[C@H](N)C(=O)N[C@@H](C(C)C)C(O)=O</t>
  </si>
  <si>
    <t xml:space="preserve">KRNYOVHEKOBTEF-YUMQZZPRSA-N</t>
  </si>
  <si>
    <t xml:space="preserve">C10H20N2O3</t>
  </si>
  <si>
    <t xml:space="preserve">1.44_527.1614m/z</t>
  </si>
  <si>
    <t xml:space="preserve">1-Kestose</t>
  </si>
  <si>
    <t xml:space="preserve">HMDB0011729</t>
  </si>
  <si>
    <t xml:space="preserve">C03661</t>
  </si>
  <si>
    <t xml:space="preserve">470-69-9</t>
  </si>
  <si>
    <t xml:space="preserve">C(C1C(C(C(C(O1)OC2(C(C(C(O2)CO)O)O)COC3(C(C(C(O3)CO)O)O)CO)O)O)O)O</t>
  </si>
  <si>
    <t xml:space="preserve">VAWYEUIPHLMNNF-CMCDSJAFSA-N</t>
  </si>
  <si>
    <t xml:space="preserve">Carbohydrates and carbohydrate conjugates</t>
  </si>
  <si>
    <t xml:space="preserve">C18H32O16</t>
  </si>
  <si>
    <t xml:space="preserve">6.11_633.2493m/z</t>
  </si>
  <si>
    <t xml:space="preserve">Pentigetide</t>
  </si>
  <si>
    <t xml:space="preserve">HMDB0038221</t>
  </si>
  <si>
    <t xml:space="preserve">62087-72-3</t>
  </si>
  <si>
    <t xml:space="preserve">N[C@@H](CC(O)=O)C(\O)=N\[C@@H](CO)C(\O)=N\[C@@H](CC(O)=O)C(=O)N1CCC[C@H]1\C(O)=N\[C@@H](CCCNC(N)=N)C(O)=O</t>
  </si>
  <si>
    <t xml:space="preserve">KQDIGHIVUUADBZ-PEDHHIEDSA-N</t>
  </si>
  <si>
    <t xml:space="preserve">C22H36N8O11</t>
  </si>
  <si>
    <t xml:space="preserve">4.50_360.2130m/z</t>
  </si>
  <si>
    <t xml:space="preserve">Val Glu Leu</t>
  </si>
  <si>
    <t xml:space="preserve">CC(C)CC(C(=O)O)NC(=O)C(CCC(=O)O)NC(=O)C(C(C)C)N</t>
  </si>
  <si>
    <t xml:space="preserve">ROLGIBMFNMZANA-GVXVVHGQSA-N</t>
  </si>
  <si>
    <t xml:space="preserve">C16H29N3O6</t>
  </si>
  <si>
    <t xml:space="preserve">4.02_287.1846n</t>
  </si>
  <si>
    <t xml:space="preserve">Val Gly Ile</t>
  </si>
  <si>
    <t xml:space="preserve">CCC(C)C(C(=O)O)NC(=O)CNC(=O)C(C(C)C)N</t>
  </si>
  <si>
    <t xml:space="preserve">PMDOQZFYGWZSTK-LSJOCFKGSA-N</t>
  </si>
  <si>
    <t xml:space="preserve">C13H25N3O4</t>
  </si>
  <si>
    <t xml:space="preserve">1.57_360.1647n</t>
  </si>
  <si>
    <t xml:space="preserve">Val Glu Asn</t>
  </si>
  <si>
    <t xml:space="preserve">CC(C)C(C(=O)NC(CCC(=O)O)C(=O)NC(CC(=O)N)C(=O)O)N</t>
  </si>
  <si>
    <t xml:space="preserve">CVIXTAITYJQMPE-LAEOZQHASA-N</t>
  </si>
  <si>
    <t xml:space="preserve">C14H24N4O7</t>
  </si>
  <si>
    <t xml:space="preserve">6.46_366.1948m/z</t>
  </si>
  <si>
    <t xml:space="preserve">3,4-Dehydrocilostazol</t>
  </si>
  <si>
    <t xml:space="preserve">HMDB0247344</t>
  </si>
  <si>
    <t xml:space="preserve">O=C1NC2=CC=C(OCCCCC3=NN=NN3C3CCCCC3)C=C2C=C1</t>
  </si>
  <si>
    <t xml:space="preserve">GHALECSGOJQOHW-UHFFFAOYSA-N</t>
  </si>
  <si>
    <t xml:space="preserve">Quinolones and derivatives</t>
  </si>
  <si>
    <t xml:space="preserve">C20H25N5O2</t>
  </si>
  <si>
    <t xml:space="preserve">9.52_332.1902m/z</t>
  </si>
  <si>
    <t xml:space="preserve">Cay10444</t>
  </si>
  <si>
    <t xml:space="preserve">298186-80-8</t>
  </si>
  <si>
    <t xml:space="preserve">CCCCCCCCCCCC1NC(CS1)C(=O)O</t>
  </si>
  <si>
    <t xml:space="preserve">FNBSOIBCKUUVJJ-LSLKUGRBSA-N</t>
  </si>
  <si>
    <t xml:space="preserve">C15H29NO2S</t>
  </si>
  <si>
    <t xml:space="preserve">1.50_635.0909m/z</t>
  </si>
  <si>
    <t xml:space="preserve">Tricetin 7,3'-Diglucuronide</t>
  </si>
  <si>
    <t xml:space="preserve">LMPK12110842</t>
  </si>
  <si>
    <t xml:space="preserve">C1(O[C@H]2[C@H](O)[C@@H](O)[C@H](O)[C@@H](C(=O)O)O2)=CC2OC(C3C=C(O)C(O)=C(O[C@H]4[C@H](O)[C@@H](O)[C@H](O)[C@@H](C(=O)O)O4)C=3)=CC(=O)C=2C(O)=C1</t>
  </si>
  <si>
    <t xml:space="preserve">UGZWTXLNQDTBED-MWBUVXCNSA-N</t>
  </si>
  <si>
    <t xml:space="preserve">C27H26O19</t>
  </si>
  <si>
    <t xml:space="preserve">1.08_322.0564n</t>
  </si>
  <si>
    <t xml:space="preserve">5-Thymidylic Acid</t>
  </si>
  <si>
    <t xml:space="preserve">HMDB0001227</t>
  </si>
  <si>
    <t xml:space="preserve">C00364</t>
  </si>
  <si>
    <t xml:space="preserve">hame00240</t>
  </si>
  <si>
    <t xml:space="preserve">Pyrimidine metabolism</t>
  </si>
  <si>
    <t xml:space="preserve">365-07-1</t>
  </si>
  <si>
    <t xml:space="preserve">CC1=CN([C@H]2C[C@H](O)[C@@H](COP(O)(O)=O)O2)C(=O)NC1=O</t>
  </si>
  <si>
    <t xml:space="preserve">GYOZYWVXFNDGLU-XLPZGREQSA-N</t>
  </si>
  <si>
    <t xml:space="preserve">Pyrimidine nucleotides</t>
  </si>
  <si>
    <t xml:space="preserve">Pyrimidine deoxyribonucleotides</t>
  </si>
  <si>
    <t xml:space="preserve">C10H15N2O8P</t>
  </si>
  <si>
    <t xml:space="preserve">11.62_568.3621m/z</t>
  </si>
  <si>
    <t xml:space="preserve">PC(18:0/0:0)</t>
  </si>
  <si>
    <t xml:space="preserve">HMDB0010384</t>
  </si>
  <si>
    <t xml:space="preserve">LMGP01050026</t>
  </si>
  <si>
    <t xml:space="preserve">C04230</t>
  </si>
  <si>
    <t xml:space="preserve">hame00564</t>
  </si>
  <si>
    <t xml:space="preserve">Glycerophospholipid metabolism</t>
  </si>
  <si>
    <t xml:space="preserve">19420-57-6</t>
  </si>
  <si>
    <t xml:space="preserve">[C@](COP(=O)([O-])OCC[N+](C)(C)C)([H])(O)COC(CCCCCCCCCCCCCCCCC)=O</t>
  </si>
  <si>
    <t xml:space="preserve">IHNKQIMGVNPMTC-RUZDIDTESA-N</t>
  </si>
  <si>
    <t xml:space="preserve">Glycerophosphocholines</t>
  </si>
  <si>
    <t xml:space="preserve">C26H54NO7P</t>
  </si>
  <si>
    <t xml:space="preserve">8.01_709.2786m/z</t>
  </si>
  <si>
    <t xml:space="preserve">Promucosine</t>
  </si>
  <si>
    <t xml:space="preserve">HMDB0035438</t>
  </si>
  <si>
    <t xml:space="preserve">275355-87-8</t>
  </si>
  <si>
    <t xml:space="preserve">COC(=O)N1CCC2=CC(OC)=C(OC)C3=C2C1CC31C=CC(=O)C=C1</t>
  </si>
  <si>
    <t xml:space="preserve">RRWYPLCSLKEVAO-UHFFFAOYSA-N</t>
  </si>
  <si>
    <t xml:space="preserve">Proaporphines</t>
  </si>
  <si>
    <t xml:space="preserve">C20H21NO5</t>
  </si>
  <si>
    <t xml:space="preserve">1.50_189.1236m/z</t>
  </si>
  <si>
    <t xml:space="preserve">Ile Gly</t>
  </si>
  <si>
    <t xml:space="preserve">CCC(C)C(C(=O)NCC(=O)[O-])[NH3+]</t>
  </si>
  <si>
    <t xml:space="preserve">UCGDDTHMMVWVMV-FSPLSTOPSA-N</t>
  </si>
  <si>
    <t xml:space="preserve">14.50_794.5474m/z</t>
  </si>
  <si>
    <t xml:space="preserve">1-(6-[5]-Ladderane-Hexanyl)-2-(8-[3]-Ladderane-Octanyl)-Sn-Glycerophosphocholine</t>
  </si>
  <si>
    <t xml:space="preserve">LMGP01040088</t>
  </si>
  <si>
    <t xml:space="preserve">C(CCCCCOC[C@@](OCCCCCCCCC1CC2C3C4CCC4C3C2CC1)(COP(=O)([O-])OCC[N+](C)(C)C)[H])C1CC2C3C4C5CCC5C4C3C21</t>
  </si>
  <si>
    <t xml:space="preserve">GPVBVKBPQZBYIE-IIWDPXFOSA-N</t>
  </si>
  <si>
    <t xml:space="preserve">C46H78NO6P</t>
  </si>
  <si>
    <t xml:space="preserve">2.06_318.2025m/z</t>
  </si>
  <si>
    <t xml:space="preserve">Val Val Thr</t>
  </si>
  <si>
    <t xml:space="preserve">CC(C)C(C(=O)NC(C(C)C)C(=O)NC(C(C)O)C(=O)O)N</t>
  </si>
  <si>
    <t xml:space="preserve">JVGDAEKKZKKZFO-RCWTZXSCSA-N</t>
  </si>
  <si>
    <t xml:space="preserve">C14H27N3O5</t>
  </si>
  <si>
    <t xml:space="preserve">1.70_376.1719m/z</t>
  </si>
  <si>
    <t xml:space="preserve">Leu Glu Asp</t>
  </si>
  <si>
    <t xml:space="preserve">CC(C)CC(C(=O)NC(CCC(=O)O)C(=O)NC(CC(=O)O)C(=O)O)N</t>
  </si>
  <si>
    <t xml:space="preserve">HFBCHNRFRYLZNV-GUBZILKMSA-N</t>
  </si>
  <si>
    <t xml:space="preserve">C15H25N3O8</t>
  </si>
  <si>
    <t xml:space="preserve">13.94_695.4989m/z</t>
  </si>
  <si>
    <t xml:space="preserve">PA(O-18:0/17:2(9Z,12Z))</t>
  </si>
  <si>
    <t xml:space="preserve">LMGP10020027</t>
  </si>
  <si>
    <t xml:space="preserve">[C@](COP(=O)(O)O)([H])(OC(CCCCCCC/C=C\C/C=C\CCCC)=O)COCCCCCCCCCCCCCCCCCC</t>
  </si>
  <si>
    <t xml:space="preserve">QSOQVBCFLROSHH-FHJINMDNSA-N</t>
  </si>
  <si>
    <t xml:space="preserve">Glycerophosphates</t>
  </si>
  <si>
    <t xml:space="preserve">C38H73O7P</t>
  </si>
  <si>
    <t xml:space="preserve">5.63_403.1274n</t>
  </si>
  <si>
    <t xml:space="preserve">3'-(1-Butylphosphoryl)Adenosine</t>
  </si>
  <si>
    <t xml:space="preserve">HMDB0246085</t>
  </si>
  <si>
    <t xml:space="preserve">CCCCOP(O)(=O)OC1C(CO)OC(C1O)N1C=NC2=C1N=CN=C2N</t>
  </si>
  <si>
    <t xml:space="preserve">RVVKQBUWQFREIE-UHFFFAOYSA-N</t>
  </si>
  <si>
    <t xml:space="preserve">Ribonucleoside 3'-phosphates</t>
  </si>
  <si>
    <t xml:space="preserve">C14H22N5O7P</t>
  </si>
  <si>
    <t xml:space="preserve">12.97_776.4542m/z</t>
  </si>
  <si>
    <t xml:space="preserve">PS(14:1(9Z)/22:6(4Z,7Z,10Z,13Z,16Z,19Z))</t>
  </si>
  <si>
    <t xml:space="preserve">HMDB0012351</t>
  </si>
  <si>
    <t xml:space="preserve">LMGP03010138</t>
  </si>
  <si>
    <t xml:space="preserve">C(O)(=O)[C@@]([H])(N)COP(OC[C@]([H])(OC(CC/C=C\C/C=C\C/C=C\C/C=C\C/C=C\C/C=C\CC)=O)COC(CCCCCCC/C=C\CCCC)=O)(=O)O</t>
  </si>
  <si>
    <t xml:space="preserve">YXCSDRIKCDJNEX-UHVZFBQRSA-N</t>
  </si>
  <si>
    <t xml:space="preserve">Glycerophosphoserines</t>
  </si>
  <si>
    <t xml:space="preserve">C42H68NO10P</t>
  </si>
  <si>
    <t xml:space="preserve">2.80_187.1077m/z</t>
  </si>
  <si>
    <t xml:space="preserve">N-Alpha-Acetyllysine</t>
  </si>
  <si>
    <t xml:space="preserve">HMDB0000446</t>
  </si>
  <si>
    <t xml:space="preserve">C12989</t>
  </si>
  <si>
    <t xml:space="preserve">1946-82-3</t>
  </si>
  <si>
    <t xml:space="preserve">CC(=O)NC(CCCCN)C(=O)O</t>
  </si>
  <si>
    <t xml:space="preserve">VEYYWZRYIYDQJM-UHFFFAOYSA-N</t>
  </si>
  <si>
    <t xml:space="preserve">7.59_360.1464m/z</t>
  </si>
  <si>
    <t xml:space="preserve">Codeine N-Oxide</t>
  </si>
  <si>
    <t xml:space="preserve">HMDB0033948</t>
  </si>
  <si>
    <t xml:space="preserve">3688-65-1</t>
  </si>
  <si>
    <t xml:space="preserve">COC1=C2OC3C(O)C=CC4C5CC(C=C1)=C2C34CCN5(C)=O</t>
  </si>
  <si>
    <t xml:space="preserve">BDLSDHWCOJPHIE-UHFFFAOYSA-N</t>
  </si>
  <si>
    <t xml:space="preserve">Morphinans</t>
  </si>
  <si>
    <t xml:space="preserve">C18H21NO4</t>
  </si>
  <si>
    <t xml:space="preserve">6.18_1077.4985m/z</t>
  </si>
  <si>
    <t xml:space="preserve">Mcp-Tva-Argipressin</t>
  </si>
  <si>
    <t xml:space="preserve">HMDB0254365</t>
  </si>
  <si>
    <t xml:space="preserve">CCOC1=CC=C(CC2NC(=O)CC3(CCCCC3)SSCC(NC(=O)C(CC(N)=O)NC(=O)C(NC(=O)C(CC3=CC=CC=C3)NC2=O)C(C)C)C(=O)N2CCCC2C(=O)NC(CCCN=C(N)N)C(N)=O)C=C1</t>
  </si>
  <si>
    <t xml:space="preserve">DRLYXDZRLDZVIS-UHFFFAOYSA-N</t>
  </si>
  <si>
    <t xml:space="preserve">C51H74N12O10S2</t>
  </si>
  <si>
    <t xml:space="preserve">4.28_303.1585n</t>
  </si>
  <si>
    <t xml:space="preserve">Valyltryptophan</t>
  </si>
  <si>
    <t xml:space="preserve">HMDB0029138</t>
  </si>
  <si>
    <t xml:space="preserve">24587-37-9</t>
  </si>
  <si>
    <t xml:space="preserve">CC(C)[C@H](N)C(=O)N[C@@H](CC1=CNC2=CC=CC=C12)C(O)=O</t>
  </si>
  <si>
    <t xml:space="preserve">LZDNBBYBDGBADK-KBPBESRZSA-N</t>
  </si>
  <si>
    <t xml:space="preserve">C16H21N3O3</t>
  </si>
  <si>
    <t xml:space="preserve">1.41_152.0569m/z</t>
  </si>
  <si>
    <t xml:space="preserve">Guanine</t>
  </si>
  <si>
    <t xml:space="preserve">HMDB0000132</t>
  </si>
  <si>
    <t xml:space="preserve">C00242</t>
  </si>
  <si>
    <t xml:space="preserve">hame00230</t>
  </si>
  <si>
    <t xml:space="preserve">Purine metabolism</t>
  </si>
  <si>
    <t xml:space="preserve">73-40-5</t>
  </si>
  <si>
    <t xml:space="preserve">NC1=NC(=O)C2=C(N1)N=CN2</t>
  </si>
  <si>
    <t xml:space="preserve">UYTPUPDQBNUYGX-UHFFFAOYSA-N</t>
  </si>
  <si>
    <t xml:space="preserve">Imidazopyrimidines</t>
  </si>
  <si>
    <t xml:space="preserve">Purines and purine derivatives</t>
  </si>
  <si>
    <t xml:space="preserve">C5H5N5O</t>
  </si>
  <si>
    <t xml:space="preserve">1.44_215.1393m/z</t>
  </si>
  <si>
    <t xml:space="preserve">Prolyl-Valine</t>
  </si>
  <si>
    <t xml:space="preserve">HMDB0029030</t>
  </si>
  <si>
    <t xml:space="preserve">CC(C)C(NC(=O)C1CCCN1)C(O)=O</t>
  </si>
  <si>
    <t xml:space="preserve">AWJGUZSYVIVZGP-UHFFFAOYSA-N</t>
  </si>
  <si>
    <t xml:space="preserve">C10H18N2O3</t>
  </si>
  <si>
    <t xml:space="preserve">7.79_348.1845m/z</t>
  </si>
  <si>
    <t xml:space="preserve">N-Lauroyl Cysteine</t>
  </si>
  <si>
    <t xml:space="preserve">HMDB0242030</t>
  </si>
  <si>
    <t xml:space="preserve">CCCCCCCCCCCC(=O)NC(CS)C(O)=O</t>
  </si>
  <si>
    <t xml:space="preserve">SZJKBLZPBALIGH-UHFFFAOYSA-N</t>
  </si>
  <si>
    <t xml:space="preserve">C15H29NO3S</t>
  </si>
  <si>
    <t xml:space="preserve">1.99_390.1872m/z</t>
  </si>
  <si>
    <t xml:space="preserve">(2e,6e,8e)-Dodeca-2,6,8-Trienedioylcarnitine</t>
  </si>
  <si>
    <t xml:space="preserve">HMDB0241282</t>
  </si>
  <si>
    <t xml:space="preserve">C[N+](C)(C)CC(CC([O-])=O)OC(=O)C=CCCC=CC=CCCC(O)=O</t>
  </si>
  <si>
    <t xml:space="preserve">IHHVBARWGRMAHB-UHFFFAOYSA-N</t>
  </si>
  <si>
    <t xml:space="preserve">C19H29NO6</t>
  </si>
  <si>
    <t xml:space="preserve">1.44_126.0433n</t>
  </si>
  <si>
    <t xml:space="preserve">Thymine</t>
  </si>
  <si>
    <t xml:space="preserve">HMDB0000262</t>
  </si>
  <si>
    <t xml:space="preserve">C00178</t>
  </si>
  <si>
    <t xml:space="preserve">65-71-4</t>
  </si>
  <si>
    <t xml:space="preserve">CC1=CNC(=O)NC1=O</t>
  </si>
  <si>
    <t xml:space="preserve">RWQNBRDOKXIBIV-UHFFFAOYSA-N</t>
  </si>
  <si>
    <t xml:space="preserve">Pyrimidines and pyrimidine derivatives</t>
  </si>
  <si>
    <t xml:space="preserve">C5H6N2O2</t>
  </si>
  <si>
    <t xml:space="preserve">4.10_264.1475n</t>
  </si>
  <si>
    <t xml:space="preserve">Valylphenylalanine</t>
  </si>
  <si>
    <t xml:space="preserve">HMDB0029134</t>
  </si>
  <si>
    <t xml:space="preserve">3918-92-1</t>
  </si>
  <si>
    <t xml:space="preserve">CC(C)[C@H](N)C(=O)N[C@@H](CC1=CC=CC=C1)C(O)=O</t>
  </si>
  <si>
    <t xml:space="preserve">GJNDXQBALKCYSZ-RYUDHWBXSA-N</t>
  </si>
  <si>
    <t xml:space="preserve">C14H20N2O3</t>
  </si>
  <si>
    <t xml:space="preserve">4.45_302.2076m/z</t>
  </si>
  <si>
    <t xml:space="preserve">Gly Ile Ile</t>
  </si>
  <si>
    <t xml:space="preserve">CCC(C)C(C(=O)NC(C(C)CC)C(=O)O)NC(=O)CN</t>
  </si>
  <si>
    <t xml:space="preserve">AAHSHTLISQUZJL-QSFUFRPTSA-N</t>
  </si>
  <si>
    <t xml:space="preserve">C14H27N3O4</t>
  </si>
  <si>
    <t xml:space="preserve">3.09_360.2131m/z</t>
  </si>
  <si>
    <t xml:space="preserve">Dodeca-3,6,9-Trienoylcarnitine</t>
  </si>
  <si>
    <t xml:space="preserve">HMDB0241271</t>
  </si>
  <si>
    <t xml:space="preserve">CCC=CCC=CCC=CCC(=O)OC(CC([O-])=O)C[N+](C)(C)C</t>
  </si>
  <si>
    <t xml:space="preserve">XACPFWUODFDQBJ-UHFFFAOYSA-N</t>
  </si>
  <si>
    <t xml:space="preserve">C19H31NO4</t>
  </si>
  <si>
    <t xml:space="preserve">8.63_683.2552m/z</t>
  </si>
  <si>
    <t xml:space="preserve">Veranisatin A</t>
  </si>
  <si>
    <t xml:space="preserve">HMDB0040663</t>
  </si>
  <si>
    <t xml:space="preserve">153445-92-2</t>
  </si>
  <si>
    <t xml:space="preserve">COCC1(O)C2CC3(C(C)CCC3(O)C11COC1=O)C(O)C(=O)O2</t>
  </si>
  <si>
    <t xml:space="preserve">LXPKORXZVZPYLY-UHFFFAOYSA-N</t>
  </si>
  <si>
    <t xml:space="preserve">Terpene lactones</t>
  </si>
  <si>
    <t xml:space="preserve">C16H22O8</t>
  </si>
  <si>
    <t xml:space="preserve">0.70_215.0320m/z</t>
  </si>
  <si>
    <t xml:space="preserve">2-C-Methyl-D-Erythritol-4-Phosphate</t>
  </si>
  <si>
    <t xml:space="preserve">HMDB0304061</t>
  </si>
  <si>
    <t xml:space="preserve">C11434</t>
  </si>
  <si>
    <t xml:space="preserve">hame00900</t>
  </si>
  <si>
    <t xml:space="preserve">Terpenoid backbone biosynthesis</t>
  </si>
  <si>
    <t xml:space="preserve">[H][C@@](O)(COP(O)(O)=O)[C@@](C)(O)CO</t>
  </si>
  <si>
    <t xml:space="preserve">XMWHRVNVKDKBRG-UHNVWZDZSA-N</t>
  </si>
  <si>
    <t xml:space="preserve">Organic phosphoric acids and derivatives</t>
  </si>
  <si>
    <t xml:space="preserve">Phosphate esters</t>
  </si>
  <si>
    <t xml:space="preserve">C5H13O7P</t>
  </si>
  <si>
    <t xml:space="preserve">1.26_332.1462m/z</t>
  </si>
  <si>
    <t xml:space="preserve">Val Thr Asp</t>
  </si>
  <si>
    <t xml:space="preserve">CC(C)C(C(=O)NC(C(C)O)C(=O)NC(CC(=O)O)C(=O)O)N</t>
  </si>
  <si>
    <t xml:space="preserve">DLRZGNXCXUGIDG-KKHAAJSZSA-N</t>
  </si>
  <si>
    <t xml:space="preserve">C13H23N3O7</t>
  </si>
  <si>
    <t xml:space="preserve">6.04_272.0960m/z</t>
  </si>
  <si>
    <t xml:space="preserve">N-Ethyl-N-(2-Hydroxy-3-Sulfopropyl)-3-Toluidine</t>
  </si>
  <si>
    <t xml:space="preserve">HMDB0255133</t>
  </si>
  <si>
    <t xml:space="preserve">CCN(CC(O)CS(O)(=O)=O)C1=CC=CC(C)=C1</t>
  </si>
  <si>
    <t xml:space="preserve">ZTQGWROHRVYSPW-UHFFFAOYSA-N</t>
  </si>
  <si>
    <t xml:space="preserve">C12H19NO4S</t>
  </si>
  <si>
    <t xml:space="preserve">4.04_328.2233m/z</t>
  </si>
  <si>
    <t xml:space="preserve">Pro Val Leu</t>
  </si>
  <si>
    <t xml:space="preserve">CC(C)CC(C(=O)O)NC(=O)C(C(C)C)NC(=O)C1CCCN1</t>
  </si>
  <si>
    <t xml:space="preserve">KHRLUIPIMIQFGT-AVGNSLFASA-N</t>
  </si>
  <si>
    <t xml:space="preserve">C16H29N3O4</t>
  </si>
  <si>
    <t xml:space="preserve">2.59_346.1976m/z</t>
  </si>
  <si>
    <t xml:space="preserve">Cicloprolol</t>
  </si>
  <si>
    <t xml:space="preserve">HMDB0250234</t>
  </si>
  <si>
    <t xml:space="preserve">CC(C)NCC(O)COC1=CC=C(OCCOCC2CC2)C=C1</t>
  </si>
  <si>
    <t xml:space="preserve">JNDJPKHYZWRRIS-UHFFFAOYSA-N</t>
  </si>
  <si>
    <t xml:space="preserve">C18H29NO4</t>
  </si>
  <si>
    <t xml:space="preserve">7.92_671.3023m/z</t>
  </si>
  <si>
    <t xml:space="preserve">Ps-Pi</t>
  </si>
  <si>
    <t xml:space="preserve">LMGP20050017</t>
  </si>
  <si>
    <t xml:space="preserve">CCCCCCCCCCCCCCCC(OC[C@](COP(O[C@@H]1[C@@H]([C@@H]([C@H]([C@@H]([C@H]1O)O)O)O)O)(O)=O)(OC(=O)CCC(=O)O)[H])=O</t>
  </si>
  <si>
    <t xml:space="preserve">BOWZRUSZAGWCCQ-UKTNQKFDSA-N</t>
  </si>
  <si>
    <t xml:space="preserve">C29H53O15P</t>
  </si>
  <si>
    <t xml:space="preserve">4.19_345.1899n</t>
  </si>
  <si>
    <t xml:space="preserve">Val Asp Leu</t>
  </si>
  <si>
    <t xml:space="preserve">CC(C)CC(C(=O)O)NC(=O)C(CC(=O)O)NC(=O)C(C(C)C)N</t>
  </si>
  <si>
    <t xml:space="preserve">TZVUSFMQWPWHON-NHCYSSNCSA-N</t>
  </si>
  <si>
    <t xml:space="preserve">0.78_191.0253n</t>
  </si>
  <si>
    <t xml:space="preserve">2,4-Thiazolidinedicarboxylic Acid, 2-Methyl-</t>
  </si>
  <si>
    <t xml:space="preserve">HMDB0244750</t>
  </si>
  <si>
    <t xml:space="preserve">CC1(NC(CS1)C(O)=O)C(O)=O</t>
  </si>
  <si>
    <t xml:space="preserve">JCAKCGQZNBEITC-UHFFFAOYSA-N</t>
  </si>
  <si>
    <t xml:space="preserve">C6H9NO4S</t>
  </si>
  <si>
    <t xml:space="preserve">5.10_791.4900m/z</t>
  </si>
  <si>
    <t xml:space="preserve">PA(18:2(9Z,12Z)/22:5(4Z,7Z,10Z,13Z,16Z))</t>
  </si>
  <si>
    <t xml:space="preserve">HMDB0114968</t>
  </si>
  <si>
    <t xml:space="preserve">[H][C@@](COC(=O)CCCCCCC\C=C/C\C=C/CCCCC)(COP(O)(O)=O)OC(=O)CC\C=C/C\C=C/C\C=C/C\C=C/C\C=C/CCCCC</t>
  </si>
  <si>
    <t xml:space="preserve">VFBAYUDOFOONJQ-HYZCKEEGSA-N</t>
  </si>
  <si>
    <t xml:space="preserve">C43H71O8P</t>
  </si>
  <si>
    <t xml:space="preserve">1.59_334.1612m/z</t>
  </si>
  <si>
    <t xml:space="preserve">Thr Val Asp</t>
  </si>
  <si>
    <t xml:space="preserve">CC(C)C(C(=O)NC(CC(=O)O)C(=O)O)NC(=O)C(C(C)O)N</t>
  </si>
  <si>
    <t xml:space="preserve">FYBFTPLPAXZBOY-KKHAAJSZSA-N</t>
  </si>
  <si>
    <t xml:space="preserve">2.10_218.1269n</t>
  </si>
  <si>
    <t xml:space="preserve">Serylleucine</t>
  </si>
  <si>
    <t xml:space="preserve">HMDB0029043</t>
  </si>
  <si>
    <t xml:space="preserve">6665-16-3</t>
  </si>
  <si>
    <t xml:space="preserve">CC(C)C[C@H](NC(=O)[C@@H](N)CO)C(O)=O</t>
  </si>
  <si>
    <t xml:space="preserve">NFDYGNFETJVMSE-BQBZGAKWSA-N</t>
  </si>
  <si>
    <t xml:space="preserve">1.34_290.0860m/z</t>
  </si>
  <si>
    <t xml:space="preserve">Deoxyguanosine</t>
  </si>
  <si>
    <t xml:space="preserve">HMDB0000085</t>
  </si>
  <si>
    <t xml:space="preserve">C00330</t>
  </si>
  <si>
    <t xml:space="preserve">961-07-9</t>
  </si>
  <si>
    <t xml:space="preserve">NC1=NC2=C(N=CN2[C@H]2C[C@H](O)[C@@H](CO)O2)C(=O)N1</t>
  </si>
  <si>
    <t xml:space="preserve">YKBGVTZYEHREMT-KVQBGUIXSA-N</t>
  </si>
  <si>
    <t xml:space="preserve">C10H13N5O4</t>
  </si>
  <si>
    <t xml:space="preserve">9.26_301.2981n</t>
  </si>
  <si>
    <t xml:space="preserve">Sphinganine</t>
  </si>
  <si>
    <t xml:space="preserve">HMDB0000269</t>
  </si>
  <si>
    <t xml:space="preserve">LMSP01020001</t>
  </si>
  <si>
    <t xml:space="preserve">C00836</t>
  </si>
  <si>
    <t xml:space="preserve">hame00600</t>
  </si>
  <si>
    <t xml:space="preserve">Sphingolipid metabolism</t>
  </si>
  <si>
    <t xml:space="preserve">764-22-7</t>
  </si>
  <si>
    <t xml:space="preserve">OC[C@]([H])(N)[C@]([H])(O)CCCCCCCCCCCCCCC</t>
  </si>
  <si>
    <t xml:space="preserve">OTKJDMGTUTTYMP-ZWKOTPCHSA-N</t>
  </si>
  <si>
    <t xml:space="preserve">C18H39NO2</t>
  </si>
  <si>
    <t xml:space="preserve">2.46_218.1259n</t>
  </si>
  <si>
    <t xml:space="preserve">Pantothenamide</t>
  </si>
  <si>
    <t xml:space="preserve">HMDB0041313</t>
  </si>
  <si>
    <t xml:space="preserve">7757-97-3</t>
  </si>
  <si>
    <t xml:space="preserve">CC(C)(CO)C(O)C(=O)NCCC(N)=O</t>
  </si>
  <si>
    <t xml:space="preserve">AMMYIDAXRNSZSJ-UHFFFAOYSA-N</t>
  </si>
  <si>
    <t xml:space="preserve">6.33_613.2829m/z</t>
  </si>
  <si>
    <t xml:space="preserve">Cletoquine</t>
  </si>
  <si>
    <t xml:space="preserve">HMDB0250320</t>
  </si>
  <si>
    <t xml:space="preserve">CC(CCCNCCO)NC1=C2C=CC(Cl)=CC2=NC=C1</t>
  </si>
  <si>
    <t xml:space="preserve">XFICNUNWUREFDP-UHFFFAOYSA-N</t>
  </si>
  <si>
    <t xml:space="preserve">C16H22ClN3O</t>
  </si>
  <si>
    <t xml:space="preserve">5.14_360.1098m/z</t>
  </si>
  <si>
    <t xml:space="preserve">2h-1-Benzopyran-2-One, 7-[[2-(Acetylamino)-2-Deoxy-Beta-D-Glucopyranosyl]Oxy]-4-Methyl-</t>
  </si>
  <si>
    <t xml:space="preserve">HMDB0246214</t>
  </si>
  <si>
    <t xml:space="preserve">CC(=O)NC1C(O)C(O)C(CO)OC1OC1=CC2=C(C=C1)C(C)=CC(=O)O2</t>
  </si>
  <si>
    <t xml:space="preserve">QCTHLCFVVACBSA-UHFFFAOYSA-N</t>
  </si>
  <si>
    <t xml:space="preserve">Coumarins and derivatives</t>
  </si>
  <si>
    <t xml:space="preserve">Coumarin glycosides</t>
  </si>
  <si>
    <t xml:space="preserve">C18H21NO8</t>
  </si>
  <si>
    <t xml:space="preserve">4.64_344.2545m/z</t>
  </si>
  <si>
    <t xml:space="preserve">Val Ile Ile</t>
  </si>
  <si>
    <t xml:space="preserve">CCC(C)C(C(=O)NC(C(C)CC)C(=O)O)NC(=O)C(C(C)C)N</t>
  </si>
  <si>
    <t xml:space="preserve">VHRLUTIMTDOVCG-PEDHHIEDSA-N</t>
  </si>
  <si>
    <t xml:space="preserve">C17H33N3O4</t>
  </si>
  <si>
    <t xml:space="preserve">0.59_164.0670m/z</t>
  </si>
  <si>
    <t xml:space="preserve">Ammonia Aspartate</t>
  </si>
  <si>
    <t xml:space="preserve">HMDB0248341</t>
  </si>
  <si>
    <t xml:space="preserve">NC1CC(=O)ONOC1=O</t>
  </si>
  <si>
    <t xml:space="preserve">GOVCRMWFUKQONY-UHFFFAOYSA-N</t>
  </si>
  <si>
    <t xml:space="preserve">C4H6N2O4</t>
  </si>
  <si>
    <t xml:space="preserve">3.71_331.1301m/z</t>
  </si>
  <si>
    <t xml:space="preserve">(3beta,6beta)-Furanoeremophilane-3,6-Diol 6-Acetate</t>
  </si>
  <si>
    <t xml:space="preserve">HMDB0034930</t>
  </si>
  <si>
    <t xml:space="preserve">34335-95-0</t>
  </si>
  <si>
    <t xml:space="preserve">CC1C(O)CCC2CC3=C(C(OC(C)=O)C12C)C(C)=CO3</t>
  </si>
  <si>
    <t xml:space="preserve">CXZIQFLLAXJLDS-UHFFFAOYSA-N</t>
  </si>
  <si>
    <t xml:space="preserve">Sesquiterpenoids</t>
  </si>
  <si>
    <t xml:space="preserve">C17H24O4</t>
  </si>
  <si>
    <t xml:space="preserve">4.02_358.1985m/z</t>
  </si>
  <si>
    <t xml:space="preserve">Pro Val Val</t>
  </si>
  <si>
    <t xml:space="preserve">CC(C)C(C(=O)NC(C(C)C)C(=O)O)NC(=O)C1CCCN1</t>
  </si>
  <si>
    <t xml:space="preserve">FHJQROWZEJFZPO-SRVKXCTJSA-N</t>
  </si>
  <si>
    <t xml:space="preserve">C15H27N3O4</t>
  </si>
  <si>
    <t xml:space="preserve">1.76_388.1961n</t>
  </si>
  <si>
    <t xml:space="preserve">Glu Gln Ile</t>
  </si>
  <si>
    <t xml:space="preserve">CCC(C)C(C(=O)O)NC(=O)C(CCC(=O)N)NC(=O)C(CCC(=O)O)N</t>
  </si>
  <si>
    <t xml:space="preserve">UMIRPYLZFKOEOH-YVNDNENWSA-N</t>
  </si>
  <si>
    <t xml:space="preserve">C16H28N4O7</t>
  </si>
  <si>
    <t xml:space="preserve">0.78_218.1267n</t>
  </si>
  <si>
    <t xml:space="preserve">Valylthreonine</t>
  </si>
  <si>
    <t xml:space="preserve">HMDB0029137</t>
  </si>
  <si>
    <t xml:space="preserve">72636-02-3</t>
  </si>
  <si>
    <t xml:space="preserve">CC(C)[C@H](N)C(=O)N[C@@H](C(C)O)C(O)=O</t>
  </si>
  <si>
    <t xml:space="preserve">GVRKWABULJAONN-BYRXKDITSA-N</t>
  </si>
  <si>
    <t xml:space="preserve">3.84_374.2290m/z</t>
  </si>
  <si>
    <t xml:space="preserve">Trideca-3,6,9-Trienoylcarnitine</t>
  </si>
  <si>
    <t xml:space="preserve">HMDB0241336</t>
  </si>
  <si>
    <t xml:space="preserve">CCCC=CCC=CCC=CCC(=O)OC(CC([O-])=O)C[N+](C)(C)C</t>
  </si>
  <si>
    <t xml:space="preserve">DCBXUSJSOSWDEU-UHFFFAOYSA-N</t>
  </si>
  <si>
    <t xml:space="preserve">C20H33NO4</t>
  </si>
  <si>
    <t xml:space="preserve">2.08_362.1922m/z</t>
  </si>
  <si>
    <t xml:space="preserve">Ile Thr Glu</t>
  </si>
  <si>
    <t xml:space="preserve">CCC(C)C(C(=O)NC(C(C)O)C(=O)NC(CCC(=O)O)C(=O)O)N</t>
  </si>
  <si>
    <t xml:space="preserve">COWHUQXTSYTKQC-RWRJDSDZSA-N</t>
  </si>
  <si>
    <t xml:space="preserve">C15H27N3O7</t>
  </si>
  <si>
    <t xml:space="preserve">4.04_277.1317n</t>
  </si>
  <si>
    <t xml:space="preserve">3'-Deaminofusarochromanone</t>
  </si>
  <si>
    <t xml:space="preserve">HMDB0041328</t>
  </si>
  <si>
    <t xml:space="preserve">162287-96-9</t>
  </si>
  <si>
    <t xml:space="preserve">CC1(C)CC(=O)C2=C(O1)C=CC(C(=O)CCCO)=C2N</t>
  </si>
  <si>
    <t xml:space="preserve">GUILTLWLDALBNW-UHFFFAOYSA-N</t>
  </si>
  <si>
    <t xml:space="preserve">Benzopyrans</t>
  </si>
  <si>
    <t xml:space="preserve">1-benzopyrans</t>
  </si>
  <si>
    <t xml:space="preserve">C15H19NO4</t>
  </si>
  <si>
    <t xml:space="preserve">6.46_679.2915m/z</t>
  </si>
  <si>
    <t xml:space="preserve">Beta-D-Glucosaminyl-(1-&gt;4)-Beta-D-Glucosamine</t>
  </si>
  <si>
    <t xml:space="preserve">HMDB0249120</t>
  </si>
  <si>
    <t xml:space="preserve">NC1C(O)OC(CO)C(OC2OC(CO)C(O)C(O)C2N)C1O</t>
  </si>
  <si>
    <t xml:space="preserve">QLTSDROPCWIKKY-UHFFFAOYSA-N</t>
  </si>
  <si>
    <t xml:space="preserve">C12H24N2O9</t>
  </si>
  <si>
    <t xml:space="preserve">3.94_659.2535m/z</t>
  </si>
  <si>
    <t xml:space="preserve">(±)-Threo-1-(P-Hydroxyphenyl)Propylene Glycol 4'-Glucoside</t>
  </si>
  <si>
    <t xml:space="preserve">HMDB0033068</t>
  </si>
  <si>
    <t xml:space="preserve">CC(O)C(O)C1=CC=C(OC2OC(CO)C(O)C(O)C2O)C=C1</t>
  </si>
  <si>
    <t xml:space="preserve">IVGOVXXPQSIWEF-UHFFFAOYSA-N</t>
  </si>
  <si>
    <t xml:space="preserve">C15H22O8</t>
  </si>
  <si>
    <t xml:space="preserve">6.80_434.1191m/z</t>
  </si>
  <si>
    <t xml:space="preserve">Cetocycline</t>
  </si>
  <si>
    <t xml:space="preserve">HMDB0249901</t>
  </si>
  <si>
    <t xml:space="preserve">CC(=O)C1=C(O)C2(O)C(CC3=C(C)C4=C(C(O)=C(C)C=C4)C(O)=C3C2=O)C(N)C1=O</t>
  </si>
  <si>
    <t xml:space="preserve">LUYXWZOOMKBUMB-UHFFFAOYSA-N</t>
  </si>
  <si>
    <t xml:space="preserve">Naphthols and derivatives</t>
  </si>
  <si>
    <t xml:space="preserve">C22H21NO7</t>
  </si>
  <si>
    <t xml:space="preserve">3.47_331.2108n</t>
  </si>
  <si>
    <t xml:space="preserve">Ile Ile Ser</t>
  </si>
  <si>
    <t xml:space="preserve">CCC(C)C(C(=O)NC(C(C)CC)C(=O)NC(CO)C(=O)O)N</t>
  </si>
  <si>
    <t xml:space="preserve">PFPUFNLHBXKPHY-HTFCKZLJSA-N</t>
  </si>
  <si>
    <t xml:space="preserve">6.18_647.2648m/z</t>
  </si>
  <si>
    <t xml:space="preserve">Licoagrochalcone A</t>
  </si>
  <si>
    <t xml:space="preserve">HMDB0032671</t>
  </si>
  <si>
    <t xml:space="preserve">LMPK12120068</t>
  </si>
  <si>
    <t xml:space="preserve">202815-28-9</t>
  </si>
  <si>
    <t xml:space="preserve">C1C(O)=C(C(/C=C/C2C=CC(O)=C(C/C=C(/C)\C)C=2)=O)C=CC=1O</t>
  </si>
  <si>
    <t xml:space="preserve">TVUGLERLRIQATC-BJMVGYQFSA-N</t>
  </si>
  <si>
    <t xml:space="preserve">Linear 1,3-diarylpropanoids</t>
  </si>
  <si>
    <t xml:space="preserve">Chalcones and dihydrochalcones</t>
  </si>
  <si>
    <t xml:space="preserve">C20H20O4</t>
  </si>
  <si>
    <t xml:space="preserve">3.46_344.1820m/z</t>
  </si>
  <si>
    <t xml:space="preserve">Ile Pro Asp</t>
  </si>
  <si>
    <t xml:space="preserve">CCC(C)C(C(=O)N1CCCC1C(=O)NC(CC(=O)O)C(=O)O)N</t>
  </si>
  <si>
    <t xml:space="preserve">OWSWUWDMSNXTNE-GMOBBJLQSA-N</t>
  </si>
  <si>
    <t xml:space="preserve">C15H25N3O6</t>
  </si>
  <si>
    <t xml:space="preserve">3.60_230.1625n</t>
  </si>
  <si>
    <t xml:space="preserve">Isoleucyl-Valine</t>
  </si>
  <si>
    <t xml:space="preserve">HMDB0028920</t>
  </si>
  <si>
    <t xml:space="preserve">CCC(C)C(N)C(=O)NC(C(C)C)C(O)=O</t>
  </si>
  <si>
    <t xml:space="preserve">BCXBIONYYJCSDF-UHFFFAOYSA-N</t>
  </si>
  <si>
    <t xml:space="preserve">2.59_243.1342m/z</t>
  </si>
  <si>
    <t xml:space="preserve">Glutamylisoleucine</t>
  </si>
  <si>
    <t xml:space="preserve">HMDB0028822</t>
  </si>
  <si>
    <t xml:space="preserve">5879-22-1</t>
  </si>
  <si>
    <t xml:space="preserve">CC[C@H](C)[C@H](NC(=O)[C@@H](N)CCC(O)=O)C(O)=O</t>
  </si>
  <si>
    <t xml:space="preserve">SNFUTDLOCQQRQD-ZKWXMUAHSA-N</t>
  </si>
  <si>
    <t xml:space="preserve">3.97_358.1976m/z</t>
  </si>
  <si>
    <t xml:space="preserve">Pro Glu Leu</t>
  </si>
  <si>
    <t xml:space="preserve">CC(C)CC(C(=O)O)NC(=O)C(CCC(=O)O)NC(=O)C1CCCN1</t>
  </si>
  <si>
    <t xml:space="preserve">NXEYSLRNNPWCRN-SRVKXCTJSA-N</t>
  </si>
  <si>
    <t xml:space="preserve">C16H27N3O6</t>
  </si>
  <si>
    <t xml:space="preserve">1.18_274.1408m/z</t>
  </si>
  <si>
    <t xml:space="preserve">Ser Val Ala</t>
  </si>
  <si>
    <t xml:space="preserve">CC(C)C(C(=O)NC(C)C(=O)O)NC(=O)C(CO)N</t>
  </si>
  <si>
    <t xml:space="preserve">PMTWIUBUQRGCSB-FXQIFTODSA-N</t>
  </si>
  <si>
    <t xml:space="preserve">C11H21N3O5</t>
  </si>
  <si>
    <t xml:space="preserve">7.94_685.3177m/z</t>
  </si>
  <si>
    <t xml:space="preserve">Pg-Pi</t>
  </si>
  <si>
    <t xml:space="preserve">LMGP20050015</t>
  </si>
  <si>
    <t xml:space="preserve">[C@]([H])(OC(CCCC(=O)O)=O)(COP(=O)(O)O[C@H]1[C@H](O)[C@@H](O)[C@H](O)[C@@H](O)[C@H]1O)COC(CCCCCCCCCCCCCCC)=O</t>
  </si>
  <si>
    <t xml:space="preserve">YOUHQNZTUOGGPJ-VJWWDYSNSA-N</t>
  </si>
  <si>
    <t xml:space="preserve">C30H55O15P</t>
  </si>
  <si>
    <t xml:space="preserve">0.70_162.1125m/z</t>
  </si>
  <si>
    <t xml:space="preserve">Botryodiplodin</t>
  </si>
  <si>
    <t xml:space="preserve">HMDB0036594</t>
  </si>
  <si>
    <t xml:space="preserve">27098-03-9</t>
  </si>
  <si>
    <t xml:space="preserve">CC1C(O)OCC1C(C)=O</t>
  </si>
  <si>
    <t xml:space="preserve">CLYSZQBIUYRLNX-UHFFFAOYSA-N</t>
  </si>
  <si>
    <t xml:space="preserve">Tetrahydrofurans</t>
  </si>
  <si>
    <t xml:space="preserve">C7H12O3</t>
  </si>
  <si>
    <t xml:space="preserve">1.15_188.1162n</t>
  </si>
  <si>
    <t xml:space="preserve">Valylalanine</t>
  </si>
  <si>
    <t xml:space="preserve">HMDB0029120</t>
  </si>
  <si>
    <t xml:space="preserve">27493-61-4</t>
  </si>
  <si>
    <t xml:space="preserve">CC(C)[C@H](N)C(=O)N[C@@H](C)C(O)=O</t>
  </si>
  <si>
    <t xml:space="preserve">HSRXSKHRSXRCFC-WDSKDSINSA-N</t>
  </si>
  <si>
    <t xml:space="preserve">3.68_295.1655m/z</t>
  </si>
  <si>
    <t xml:space="preserve">Leucyl-Tyrosine</t>
  </si>
  <si>
    <t xml:space="preserve">HMDB0028941</t>
  </si>
  <si>
    <t xml:space="preserve">CC(C)CC(N)C(=O)NC(CC1=CC=C(O)C=C1)C(O)=O</t>
  </si>
  <si>
    <t xml:space="preserve">LHSGPCFBGJHPCY-UHFFFAOYSA-N</t>
  </si>
  <si>
    <t xml:space="preserve">C15H22N2O4</t>
  </si>
  <si>
    <t xml:space="preserve">12.97_692.5585m/z</t>
  </si>
  <si>
    <t xml:space="preserve">PA(O-16:0/19:1(9Z))</t>
  </si>
  <si>
    <t xml:space="preserve">LMGP10020012</t>
  </si>
  <si>
    <t xml:space="preserve">[C@](COP(=O)(O)O)([H])(OC(CCCCCCC/C=C\CCCCCCCCC)=O)COCCCCCCCCCCCCCCCC</t>
  </si>
  <si>
    <t xml:space="preserve">KQHODSWWHUKWAH-PLOGQBHYSA-N</t>
  </si>
  <si>
    <t xml:space="preserve">C38H75O7P</t>
  </si>
  <si>
    <t xml:space="preserve">7.94_506.1049m/z</t>
  </si>
  <si>
    <t xml:space="preserve">Cyanidin 3-O-(6''-Acetyl-Arabinoside)</t>
  </si>
  <si>
    <t xml:space="preserve">HMDB0029238</t>
  </si>
  <si>
    <t xml:space="preserve">CC(=O)OC[C@H]1O[C@H](OC2=CC3=C(O)C=C(O)C=C3[O+]=C2C2=CC=C(O)C(O)=C2)[C@@H](O)[C@@H]1O</t>
  </si>
  <si>
    <t xml:space="preserve">LKLWQWKPLGSQMZ-JBPLPALLSA-O</t>
  </si>
  <si>
    <t xml:space="preserve">C22H21O11+</t>
  </si>
  <si>
    <t xml:space="preserve">0.76_204.1111n</t>
  </si>
  <si>
    <t xml:space="preserve">N6-Acetyl-5s-Hydroxy-L-Lysine</t>
  </si>
  <si>
    <t xml:space="preserve">HMDB0033891</t>
  </si>
  <si>
    <t xml:space="preserve">CC(=O)NCC(O)CCC(N)C(O)=O</t>
  </si>
  <si>
    <t xml:space="preserve">FVTTTYGNCVTXEI-UHFFFAOYSA-N</t>
  </si>
  <si>
    <t xml:space="preserve">C8H16N2O4</t>
  </si>
  <si>
    <t xml:space="preserve">1.28_335.0609m/z</t>
  </si>
  <si>
    <t xml:space="preserve">Glucose Pyruvate Lactate</t>
  </si>
  <si>
    <t xml:space="preserve">HMDB0252788</t>
  </si>
  <si>
    <t xml:space="preserve">CC(=O)C(=O)OOC(=O)C(C)(O)C1(O)OC(CO)C(O)C(O)C1O</t>
  </si>
  <si>
    <t xml:space="preserve">KFQNTCARAVTGMW-UHFFFAOYSA-N</t>
  </si>
  <si>
    <t xml:space="preserve">C12H18O12</t>
  </si>
  <si>
    <t xml:space="preserve">1.31_346.1619m/z</t>
  </si>
  <si>
    <t xml:space="preserve">Glu Val Thr</t>
  </si>
  <si>
    <t xml:space="preserve">CC(C)C(C(=O)NC(C(C)O)C(=O)O)NC(=O)C(CCC(=O)O)N</t>
  </si>
  <si>
    <t xml:space="preserve">WGYHAAXZWPEBDQ-IFFSRLJSSA-N</t>
  </si>
  <si>
    <t xml:space="preserve">C14H25N3O7</t>
  </si>
  <si>
    <t xml:space="preserve">3.64_316.1514m/z</t>
  </si>
  <si>
    <t xml:space="preserve">Gly Glu Leu</t>
  </si>
  <si>
    <t xml:space="preserve">CC(C)CC(C(=O)O)NC(=O)C(CCC(=O)O)NC(=O)CN</t>
  </si>
  <si>
    <t xml:space="preserve">YYPFZVIXAVDHIK-IUCAKERBSA-N</t>
  </si>
  <si>
    <t xml:space="preserve">3.61_376.1716m/z</t>
  </si>
  <si>
    <t xml:space="preserve">Asp Glu Leu</t>
  </si>
  <si>
    <t xml:space="preserve">CC(C)CC(C(=O)O)NC(=O)C(CCC(=O)O)NC(=O)C(CC(=O)O)N</t>
  </si>
  <si>
    <t xml:space="preserve">PDECQIHABNQRHN-GUBZILKMSA-N</t>
  </si>
  <si>
    <t xml:space="preserve">3.89_346.2340m/z</t>
  </si>
  <si>
    <t xml:space="preserve">Ile Ile Thr</t>
  </si>
  <si>
    <t xml:space="preserve">CCC(C)C(C(=O)NC(C(C)CC)C(=O)NC(C(C)O)C(=O)O)N</t>
  </si>
  <si>
    <t xml:space="preserve">AXNGDPAKKCEKGY-QPHKQPEJSA-N</t>
  </si>
  <si>
    <t xml:space="preserve">C16H31N3O5</t>
  </si>
  <si>
    <t xml:space="preserve">2.66_375.1645n</t>
  </si>
  <si>
    <t xml:space="preserve">Glu Ile Asp</t>
  </si>
  <si>
    <t xml:space="preserve">CCC(C)C(C(=O)NC(CC(=O)O)C(=O)O)NC(=O)C(CCC(=O)O)N</t>
  </si>
  <si>
    <t xml:space="preserve">LGYCLOCORAEQSZ-PEFMBERDSA-N</t>
  </si>
  <si>
    <t xml:space="preserve">1.11_309.1091m/z</t>
  </si>
  <si>
    <t xml:space="preserve">Gamma-Glutamyltyrosine</t>
  </si>
  <si>
    <t xml:space="preserve">HMDB0011741</t>
  </si>
  <si>
    <t xml:space="preserve">C01151</t>
  </si>
  <si>
    <t xml:space="preserve">hame00030,hame00440</t>
  </si>
  <si>
    <t xml:space="preserve">Pentose phosphate pathway|Phosphonate and phosphinate metabolism</t>
  </si>
  <si>
    <t xml:space="preserve">7432-23-7</t>
  </si>
  <si>
    <t xml:space="preserve">N[C@@H](CCC(=O)N[C@@H](CC1=CC=C(O)C=C1)C(O)=O)C(O)=O</t>
  </si>
  <si>
    <t xml:space="preserve">VVLXCWVSSLFQDS-QWRGUYRKSA-N</t>
  </si>
  <si>
    <t xml:space="preserve">C14H18N2O6</t>
  </si>
  <si>
    <t xml:space="preserve">4.96_258.1942n</t>
  </si>
  <si>
    <t xml:space="preserve">Leucylleucine Methyl Ester</t>
  </si>
  <si>
    <t xml:space="preserve">HMDB0248073</t>
  </si>
  <si>
    <t xml:space="preserve">COC(=O)C(CC(C)C)NC(=O)C(N)CC(C)C</t>
  </si>
  <si>
    <t xml:space="preserve">AJMOLNFDYWTVQW-UHFFFAOYSA-N</t>
  </si>
  <si>
    <t xml:space="preserve">C13H26N2O3</t>
  </si>
  <si>
    <t xml:space="preserve">6.80_378.1120m/z</t>
  </si>
  <si>
    <t xml:space="preserve">Oxonorfloxacin</t>
  </si>
  <si>
    <t xml:space="preserve">HMDB0256001</t>
  </si>
  <si>
    <t xml:space="preserve">CCN1C=C(C(O)=O)C(=O)C2=CC(F)=C(C=C12)N1CCNC(=O)C1</t>
  </si>
  <si>
    <t xml:space="preserve">OIOFPHGTOUDKAJ-UHFFFAOYSA-N</t>
  </si>
  <si>
    <t xml:space="preserve">C16H16FN3O4</t>
  </si>
  <si>
    <t xml:space="preserve">0.72_274.1043m/z</t>
  </si>
  <si>
    <t xml:space="preserve">N2-Gamma-Glutamylglutamine</t>
  </si>
  <si>
    <t xml:space="preserve">HMDB0011738</t>
  </si>
  <si>
    <t xml:space="preserve">C05283</t>
  </si>
  <si>
    <t xml:space="preserve">10148-81-9</t>
  </si>
  <si>
    <t xml:space="preserve">N[C@@H](CCC(=O)N[C@@H](CCC(N)=O)C(O)=O)C(O)=O</t>
  </si>
  <si>
    <t xml:space="preserve">JBFYFLXEJFQWMU-WDSKDSINSA-N</t>
  </si>
  <si>
    <t xml:space="preserve">C10H17N3O6</t>
  </si>
  <si>
    <t xml:space="preserve">4.28_459.2816m/z</t>
  </si>
  <si>
    <t xml:space="preserve">4,4-Difluorovitamin D3 / 4,4-Difluorocholecalciferol</t>
  </si>
  <si>
    <t xml:space="preserve">LMST03020134</t>
  </si>
  <si>
    <t xml:space="preserve">C1C(=C)/C(=C\C=C2\[C@]3([H])CC[C@@]([C@@](C)([H])CCCC(C)C)([H])[C@@]3(C)CCC\2)/C(F)(F)[C@@H](O)C1</t>
  </si>
  <si>
    <t xml:space="preserve">AIWQAWSDAARVAO-MSTSCONQSA-N</t>
  </si>
  <si>
    <t xml:space="preserve">Steroids and steroid derivatives</t>
  </si>
  <si>
    <t xml:space="preserve">Vitamin D and derivatives</t>
  </si>
  <si>
    <t xml:space="preserve">C27H42F2O</t>
  </si>
  <si>
    <t xml:space="preserve">4.51_358.1985m/z</t>
  </si>
  <si>
    <t xml:space="preserve">Ile Asp Ile</t>
  </si>
  <si>
    <t xml:space="preserve">CCC(C)C(C(=O)NC(CC(=O)O)C(=O)NC(C(C)CC)C(=O)O)N</t>
  </si>
  <si>
    <t xml:space="preserve">BGZIJZJBXRVBGJ-SXTJYALSSA-N</t>
  </si>
  <si>
    <t xml:space="preserve">4.11_232.1425n</t>
  </si>
  <si>
    <t xml:space="preserve">Spermic Acid 2</t>
  </si>
  <si>
    <t xml:space="preserve">HMDB0013075</t>
  </si>
  <si>
    <t xml:space="preserve">14209-33-7</t>
  </si>
  <si>
    <t xml:space="preserve">OC(=O)CCNCCCCNCCC(O)=O</t>
  </si>
  <si>
    <t xml:space="preserve">DGMOQCHIPOPXEK-UHFFFAOYSA-N</t>
  </si>
  <si>
    <t xml:space="preserve">1.35_202.1309n</t>
  </si>
  <si>
    <t xml:space="preserve">Leucylalanine</t>
  </si>
  <si>
    <t xml:space="preserve">HMDB0028922</t>
  </si>
  <si>
    <t xml:space="preserve">7298-84-2</t>
  </si>
  <si>
    <t xml:space="preserve">CC(C)C[C@H](N)C(=O)N[C@@H](C)C(O)=O</t>
  </si>
  <si>
    <t xml:space="preserve">HSQGMTRYSIHDAC-BQBZGAKWSA-N</t>
  </si>
  <si>
    <t xml:space="preserve">3.81_308.1174m/z</t>
  </si>
  <si>
    <t xml:space="preserve">Didesethyl Chloroquine</t>
  </si>
  <si>
    <t xml:space="preserve">HMDB0249267</t>
  </si>
  <si>
    <t xml:space="preserve">4298-14-0</t>
  </si>
  <si>
    <t xml:space="preserve">CC(CCCN)NC1=C2C=CC(Cl)=CC2=NC=C1</t>
  </si>
  <si>
    <t xml:space="preserve">GYEDIFVVTRKXHP-UHFFFAOYSA-N</t>
  </si>
  <si>
    <t xml:space="preserve">C14H18ClN3</t>
  </si>
  <si>
    <t xml:space="preserve">2.06_348.1767m/z</t>
  </si>
  <si>
    <t xml:space="preserve">Glu Thr Val</t>
  </si>
  <si>
    <t xml:space="preserve">CC(C)C(C(=O)O)NC(=O)C(C(C)O)NC(=O)C(CCC(=O)O)N</t>
  </si>
  <si>
    <t xml:space="preserve">DLISPGXMKZTWQG-IFFSRLJSSA-N</t>
  </si>
  <si>
    <t xml:space="preserve">6.95_346.1056m/z</t>
  </si>
  <si>
    <t xml:space="preserve">5-Amino-2,3-Dihydro-6-(3-Hydroxy-4-Methoxy-1-Oxobutyl)-2,2-Dimethyl-4h-1-Benzopyran-4-One</t>
  </si>
  <si>
    <t xml:space="preserve">HMDB0038582</t>
  </si>
  <si>
    <t xml:space="preserve">130767-47-4</t>
  </si>
  <si>
    <t xml:space="preserve">COCC(O)CC(=O)C1=C(N)C2=C(OC(C)(C)CC2=O)C=C1</t>
  </si>
  <si>
    <t xml:space="preserve">NOROKJIAOJKYOE-UHFFFAOYSA-N</t>
  </si>
  <si>
    <t xml:space="preserve">C16H21NO5</t>
  </si>
  <si>
    <t xml:space="preserve">4.30_417.2344m/z</t>
  </si>
  <si>
    <t xml:space="preserve">Diethylaminoethyl-Sephacel</t>
  </si>
  <si>
    <t xml:space="preserve">HMDB0251243</t>
  </si>
  <si>
    <t xml:space="preserve">CCN(CC)CCOCC1OC(O)C(OCCN(CC)CC)C(O)C1O</t>
  </si>
  <si>
    <t xml:space="preserve">QLAJPGCDKRPRKU-UHFFFAOYSA-N</t>
  </si>
  <si>
    <t xml:space="preserve">C18H38N2O6</t>
  </si>
  <si>
    <t xml:space="preserve">3.52_301.2005n</t>
  </si>
  <si>
    <t xml:space="preserve">Leu Val Ala</t>
  </si>
  <si>
    <t xml:space="preserve">CC(C)CC(C(=O)NC(C(C)C)C(=O)NC(C)C(=O)O)N</t>
  </si>
  <si>
    <t xml:space="preserve">MKBVYCVTDBHWSZ-DCAQKATOSA-N</t>
  </si>
  <si>
    <t xml:space="preserve">2.08_376.1716m/z</t>
  </si>
  <si>
    <t xml:space="preserve">2-Phenylaminoadenosine</t>
  </si>
  <si>
    <t xml:space="preserve">HMDB0001069</t>
  </si>
  <si>
    <t xml:space="preserve">53296-10-9</t>
  </si>
  <si>
    <t xml:space="preserve">NC1=C2N=CN(C3OC(CO)C(O)C3O)C2=NC(NC2=CC=CC=C2)=N1</t>
  </si>
  <si>
    <t xml:space="preserve">SCNILGOVBBRMBK-UHFFFAOYSA-N</t>
  </si>
  <si>
    <t xml:space="preserve">C16H18N6O4</t>
  </si>
  <si>
    <t xml:space="preserve">3.84_403.2191m/z</t>
  </si>
  <si>
    <t xml:space="preserve">Levocabastine</t>
  </si>
  <si>
    <t xml:space="preserve">HMDB0015238</t>
  </si>
  <si>
    <t xml:space="preserve">79516-68-0</t>
  </si>
  <si>
    <t xml:space="preserve">C[C@@H]1CN(CC[C@]1(C(O)=O)C1=CC=CC=C1)C1CCC(CC1)(C#N)C1=CC=C(F)C=C1</t>
  </si>
  <si>
    <t xml:space="preserve">ZCGOMHNNNFPNMX-YHYDXASRSA-N</t>
  </si>
  <si>
    <t xml:space="preserve">Piperidines</t>
  </si>
  <si>
    <t xml:space="preserve">Phenylpiperidines</t>
  </si>
  <si>
    <t xml:space="preserve">C26H29FN2O2</t>
  </si>
  <si>
    <t xml:space="preserve">0.67_154.0608m/z</t>
  </si>
  <si>
    <t xml:space="preserve">L-Histidine</t>
  </si>
  <si>
    <t xml:space="preserve">HMDB0000177</t>
  </si>
  <si>
    <t xml:space="preserve">C00135</t>
  </si>
  <si>
    <t xml:space="preserve">hame00340,hame00410,hame00470,hame00970,hame02010</t>
  </si>
  <si>
    <t xml:space="preserve">Histidine metabolism|beta-Alanine metabolism|D-Amino acid metabolism|Aminoacyl-tRNA biosynthesis|ABC transporters</t>
  </si>
  <si>
    <t xml:space="preserve">71-00-1</t>
  </si>
  <si>
    <t xml:space="preserve">N[C@@H](CC1=CN=CN1)C(O)=O</t>
  </si>
  <si>
    <t xml:space="preserve">HNDVDQJCIGZPNO-YFKPBYRVSA-N</t>
  </si>
  <si>
    <t xml:space="preserve">C6H9N3O2</t>
  </si>
  <si>
    <t xml:space="preserve">4.28_429.2354m/z</t>
  </si>
  <si>
    <t xml:space="preserve">Nivacortol</t>
  </si>
  <si>
    <t xml:space="preserve">HMDB0255670</t>
  </si>
  <si>
    <t xml:space="preserve">CC12CCC3C(CCC4=CC5=C(CC34C)C=NN5C3=CC=C(F)C=C3)C1CCC2(O)C#C</t>
  </si>
  <si>
    <t xml:space="preserve">ZQLOAGFNRKBEAJ-UHFFFAOYSA-N</t>
  </si>
  <si>
    <t xml:space="preserve">C28H31FN2O</t>
  </si>
  <si>
    <t xml:space="preserve">8.05_980.4397m/z</t>
  </si>
  <si>
    <t xml:space="preserve">CDP-DG(a-13:0/22:6(4Z,7Z,10Z,12E,16Z,19Z)-OH(14))</t>
  </si>
  <si>
    <t xml:space="preserve">HMDB0292819</t>
  </si>
  <si>
    <t xml:space="preserve">[H][C@@](COC(=O)CCCCCCCCC(C)CC)(COP(O)(=O)OP(O)(=O)OC[C@H]1O[C@H]([C@H](O)[C@@H]1O)N1C=CC(N)=NC1=O)OC(=O)CC\C=C/C\C=C/C\C=C/C=C/C(O)C\C=C/C\C=C/CC</t>
  </si>
  <si>
    <t xml:space="preserve">AIXNCZJMAQMVDT-HKLNWMRCSA-N</t>
  </si>
  <si>
    <t xml:space="preserve">C47H75N3O16P2</t>
  </si>
  <si>
    <t xml:space="preserve">0.65_141.9315n</t>
  </si>
  <si>
    <t xml:space="preserve">Sodium Sulfate</t>
  </si>
  <si>
    <t xml:space="preserve">HMDB0303546</t>
  </si>
  <si>
    <t xml:space="preserve">C13199</t>
  </si>
  <si>
    <t xml:space="preserve">[Na+].[Na+].[O-]S([O-])(=O)=O</t>
  </si>
  <si>
    <t xml:space="preserve">PMZURENOXWZQFD-UHFFFAOYSA-L</t>
  </si>
  <si>
    <t xml:space="preserve">Mixed metal/non-metal compounds</t>
  </si>
  <si>
    <t xml:space="preserve">Alkali metal oxoanionic compounds</t>
  </si>
  <si>
    <t xml:space="preserve">Alkali metal sulfates</t>
  </si>
  <si>
    <t xml:space="preserve">Na2O4S</t>
  </si>
  <si>
    <t xml:space="preserve">0.80_324.0357n</t>
  </si>
  <si>
    <t xml:space="preserve">Uridine 5'-Monophosphate</t>
  </si>
  <si>
    <t xml:space="preserve">HMDB0000288</t>
  </si>
  <si>
    <t xml:space="preserve">C00105</t>
  </si>
  <si>
    <t xml:space="preserve">58-97-9</t>
  </si>
  <si>
    <t xml:space="preserve">O[C@H]1[C@@H](O)[C@@H](O[C@@H]1COP(O)(O)=O)N1C=CC(=O)NC1=O</t>
  </si>
  <si>
    <t xml:space="preserve">DJJCXFVJDGTHFX-XVFCMESISA-N</t>
  </si>
  <si>
    <t xml:space="preserve">Pyrimidine ribonucleotides</t>
  </si>
  <si>
    <t xml:space="preserve">C9H13N2O9P</t>
  </si>
  <si>
    <t xml:space="preserve">0.74_247.0930m/z</t>
  </si>
  <si>
    <t xml:space="preserve">Gamma-Glutamylthreonine</t>
  </si>
  <si>
    <t xml:space="preserve">HMDB0029159</t>
  </si>
  <si>
    <t xml:space="preserve">5652-48-2</t>
  </si>
  <si>
    <t xml:space="preserve">C[C@@H](O)[C@H](NC(=O)CC[C@H](N)C(O)=O)C(O)=O</t>
  </si>
  <si>
    <t xml:space="preserve">GWNXFCYUJXASDX-ZDLURKLDSA-N</t>
  </si>
  <si>
    <t xml:space="preserve">C9H16N2O6</t>
  </si>
  <si>
    <t xml:space="preserve">7.44_260.1323m/z</t>
  </si>
  <si>
    <t xml:space="preserve">Cycloate</t>
  </si>
  <si>
    <t xml:space="preserve">HMDB0250636</t>
  </si>
  <si>
    <t xml:space="preserve">C18780</t>
  </si>
  <si>
    <t xml:space="preserve">1134-23-2</t>
  </si>
  <si>
    <t xml:space="preserve">CCSC(=O)N(CC)C1CCCCC1</t>
  </si>
  <si>
    <t xml:space="preserve">DFCAFRGABIXSDS-UHFFFAOYSA-N</t>
  </si>
  <si>
    <t xml:space="preserve">Organosulfur compounds</t>
  </si>
  <si>
    <t xml:space="preserve">Thiocarbonyl compounds</t>
  </si>
  <si>
    <t xml:space="preserve">Thiocarbamic acid derivatives</t>
  </si>
  <si>
    <t xml:space="preserve">C11H21NOS</t>
  </si>
  <si>
    <t xml:space="preserve">4.39_445.2660m/z</t>
  </si>
  <si>
    <t xml:space="preserve">Volicitin</t>
  </si>
  <si>
    <t xml:space="preserve">LMFA08020212</t>
  </si>
  <si>
    <t xml:space="preserve">[C@]([H])(NC(=O)CCCCCCC/C=C\C/C=C\C/C=C\C(O)C)(CCC(N)=O)C(O)=O</t>
  </si>
  <si>
    <t xml:space="preserve">YDUZXFXPORORCL-RXMDRCAOSA-N</t>
  </si>
  <si>
    <t xml:space="preserve">C23H38N2O5</t>
  </si>
  <si>
    <t xml:space="preserve">0.79_217.1185m/z</t>
  </si>
  <si>
    <t xml:space="preserve">Threonylvaline</t>
  </si>
  <si>
    <t xml:space="preserve">HMDB0029074</t>
  </si>
  <si>
    <t xml:space="preserve">99032-17-4</t>
  </si>
  <si>
    <t xml:space="preserve">CC(C)[C@H](NC(=O)[C@@H](N)[C@@H](C)O)C(O)=O</t>
  </si>
  <si>
    <t xml:space="preserve">CKHWEVXPLJBEOZ-VQVTYTSYSA-N</t>
  </si>
  <si>
    <t xml:space="preserve">7.44_345.1491m/z</t>
  </si>
  <si>
    <t xml:space="preserve">Cyclofenil</t>
  </si>
  <si>
    <t xml:space="preserve">HMDB0250644</t>
  </si>
  <si>
    <t xml:space="preserve">CC(=O)OC1=CC=C(C=C1)C(=C1CCCCC1)C1=CC=C(OC(C)=O)C=C1</t>
  </si>
  <si>
    <t xml:space="preserve">GVOUFPWUYJWQSK-UHFFFAOYSA-N</t>
  </si>
  <si>
    <t xml:space="preserve">Diphenylmethanes</t>
  </si>
  <si>
    <t xml:space="preserve">C23H24O4</t>
  </si>
  <si>
    <t xml:space="preserve">2.41_249.1269m/z</t>
  </si>
  <si>
    <t xml:space="preserve">Valylmethionine</t>
  </si>
  <si>
    <t xml:space="preserve">HMDB0029133</t>
  </si>
  <si>
    <t xml:space="preserve">14486-09-0</t>
  </si>
  <si>
    <t xml:space="preserve">CSCC[C@H](NC(=O)[C@@H](N)C(C)C)C(O)=O</t>
  </si>
  <si>
    <t xml:space="preserve">YSGSDAIMSCVPHG-YUMQZZPRSA-N</t>
  </si>
  <si>
    <t xml:space="preserve">C10H20N2O3S</t>
  </si>
  <si>
    <t xml:space="preserve">1.20_288.2031m/z</t>
  </si>
  <si>
    <t xml:space="preserve">Arginylleucine</t>
  </si>
  <si>
    <t xml:space="preserve">HMDB0028713</t>
  </si>
  <si>
    <t xml:space="preserve">1188-24-5</t>
  </si>
  <si>
    <t xml:space="preserve">CC(C)C[C@H](NC(=O)[C@@H](N)CCCNC(N)=N)C(O)=O</t>
  </si>
  <si>
    <t xml:space="preserve">WYBVBIHNJWOLCJ-IUCAKERBSA-N</t>
  </si>
  <si>
    <t xml:space="preserve">C12H25N5O3</t>
  </si>
  <si>
    <t xml:space="preserve">4.13_459.2462m/z</t>
  </si>
  <si>
    <t xml:space="preserve">Valylhydroxyproline</t>
  </si>
  <si>
    <t xml:space="preserve">HMDB0029128</t>
  </si>
  <si>
    <t xml:space="preserve">90965-79-0</t>
  </si>
  <si>
    <t xml:space="preserve">CC(C)[C@H](N)C(=O)N1C[C@H](O)C[C@H]1C(O)=O</t>
  </si>
  <si>
    <t xml:space="preserve">IMOKOCYUKGZZAG-CSMHCCOUSA-N</t>
  </si>
  <si>
    <t xml:space="preserve">C10H18N2O4</t>
  </si>
  <si>
    <t xml:space="preserve">5.12_970.6264m/z</t>
  </si>
  <si>
    <t xml:space="preserve">MIPC(d18:0/18:0)</t>
  </si>
  <si>
    <t xml:space="preserve">LMSP03030061</t>
  </si>
  <si>
    <t xml:space="preserve">[C@](COP(=O)(O)O[C@H]1[C@H](O)[C@@H](O)[C@H](O)[C@@H](O)[C@H]1O[C@@H]1[C@@H](O)[C@@H](O)[C@H](O)[C@@H](CO)O1)([H])(NC(=O)CCCCCCCCCCCCCCCCC)[C@]([H])(O)CCCCCCCCCCCCCCC</t>
  </si>
  <si>
    <t xml:space="preserve">AOUZHUXBVMYZCY-FAHPNZRFSA-N</t>
  </si>
  <si>
    <t xml:space="preserve">Sphingolipids</t>
  </si>
  <si>
    <t xml:space="preserve">Phosphosphingolipids</t>
  </si>
  <si>
    <t xml:space="preserve">C48H94NO16P</t>
  </si>
  <si>
    <t xml:space="preserve">3.90_415.2200m/z</t>
  </si>
  <si>
    <t xml:space="preserve">Octaethylene Glycol</t>
  </si>
  <si>
    <t xml:space="preserve">HMDB0094680</t>
  </si>
  <si>
    <t xml:space="preserve">OCCOCCOCCOCCOCCOCCOCCOCCO</t>
  </si>
  <si>
    <t xml:space="preserve">GLZWNFNQMJAZGY-UHFFFAOYSA-N</t>
  </si>
  <si>
    <t xml:space="preserve">Ethers</t>
  </si>
  <si>
    <t xml:space="preserve">C16H34O9</t>
  </si>
  <si>
    <t xml:space="preserve">3.68_274.1762m/z</t>
  </si>
  <si>
    <t xml:space="preserve">Ala Ile Ala</t>
  </si>
  <si>
    <t xml:space="preserve">CCC(C)C(C(=O)NC(C)C(=O)O)NC(=O)C(C)N</t>
  </si>
  <si>
    <t xml:space="preserve">PNALXAODQKTNLV-JBDRJPRFSA-N</t>
  </si>
  <si>
    <t xml:space="preserve">C12H23N3O4</t>
  </si>
  <si>
    <t xml:space="preserve">8.65_845.5999m/z</t>
  </si>
  <si>
    <t xml:space="preserve">All Trans Decaprenyl Diphosphate</t>
  </si>
  <si>
    <t xml:space="preserve">HMDB0006288</t>
  </si>
  <si>
    <t xml:space="preserve">[P](OCC=C(C)C)(OCC=C(C)C)(=O)(OP(OCC=C(C)C)(OCC=C(C)C)=O)(CC=C(C)C)(CC=C(C)C)(CC=C(C)C)(CC=C(C)C)(CC=C(C)C)CC=C(C)C</t>
  </si>
  <si>
    <t xml:space="preserve">UAYWNGPBKZFVAV-UHFFFAOYSA-N</t>
  </si>
  <si>
    <t xml:space="preserve">Isoprenoid phosphates</t>
  </si>
  <si>
    <t xml:space="preserve">C50H90O7P2</t>
  </si>
  <si>
    <t xml:space="preserve">12.83_877.5134n</t>
  </si>
  <si>
    <t xml:space="preserve">PE(22:6(4Z,7Z,10Z,13Z,16Z,19Z)/6 keto-PGF1alpha)</t>
  </si>
  <si>
    <t xml:space="preserve">HMDB0284366</t>
  </si>
  <si>
    <t xml:space="preserve">CCCCC[C@H](O)\C=C\[C@H]1[C@H](O)C[C@H](O)[C@@H]1CC(=O)CCCCC(=O)O[C@H](COC(=O)CC\C=C/C\C=C/C\C=C/C\C=C/C\C=C/C\C=C/CC)COP(O)(=O)OCCN</t>
  </si>
  <si>
    <t xml:space="preserve">WHZPTWJFOADCGH-CJIHTBCUSA-N</t>
  </si>
  <si>
    <t xml:space="preserve">C47H76NO12P</t>
  </si>
  <si>
    <t xml:space="preserve">8.65_751.2426m/z</t>
  </si>
  <si>
    <t xml:space="preserve">Leonoside A</t>
  </si>
  <si>
    <t xml:space="preserve">HMDB0040342</t>
  </si>
  <si>
    <t xml:space="preserve">140147-66-6</t>
  </si>
  <si>
    <t xml:space="preserve">COC1=C(O)C=CC(\C=C/C(=O)OC2C(CO)OC(OCCC3=CC(O)=C(O)C=C3)C(O)C2OC2OC(C)C(O)C(O)C2OC2OCC(O)C(O)C2O)=C1</t>
  </si>
  <si>
    <t xml:space="preserve">ZPJGTPAAEPXBQT-YVMONPNESA-N</t>
  </si>
  <si>
    <t xml:space="preserve">C35H46O19</t>
  </si>
  <si>
    <t xml:space="preserve">4.53_278.1629n</t>
  </si>
  <si>
    <t xml:space="preserve">Leucylphenylalanine</t>
  </si>
  <si>
    <t xml:space="preserve">HMDB0013243</t>
  </si>
  <si>
    <t xml:space="preserve">3063-05-6</t>
  </si>
  <si>
    <t xml:space="preserve">CC(C)C[C@H](N)C(=O)N[C@@H](CC1=CC=CC=C1)C(O)=O</t>
  </si>
  <si>
    <t xml:space="preserve">KFKWRHQBZQICHA-STQMWFEESA-N</t>
  </si>
  <si>
    <t xml:space="preserve">C15H22N2O3</t>
  </si>
  <si>
    <t xml:space="preserve">7.46_601.2988m/z</t>
  </si>
  <si>
    <t xml:space="preserve">PI(P-16:0/0:0)</t>
  </si>
  <si>
    <t xml:space="preserve">LMGP06070003</t>
  </si>
  <si>
    <t xml:space="preserve">[C@]([H])(O)(COP(=O)(O)O[C@H]1[C@H](O)[C@@H](O)[C@H](O)[C@@H](O)[C@H]1O)CO/C=C\CCCCCCCCCCCCCC</t>
  </si>
  <si>
    <t xml:space="preserve">MTLRNAKDFBBVEQ-YZPJWIMXSA-N</t>
  </si>
  <si>
    <t xml:space="preserve">C25H49O11P</t>
  </si>
  <si>
    <t xml:space="preserve">4.24_362.2085m/z</t>
  </si>
  <si>
    <t xml:space="preserve">Val Pro Phe</t>
  </si>
  <si>
    <t xml:space="preserve">CC(C)C(C(=O)N1CCCC1C(=O)NC(CC2=CC=CC=C2)C(=O)O)N</t>
  </si>
  <si>
    <t xml:space="preserve">QIVPZSWBBHRNBA-JYJNAYRXSA-N</t>
  </si>
  <si>
    <t xml:space="preserve">C19H27N3O4</t>
  </si>
  <si>
    <t xml:space="preserve">1.15_320.1817m/z</t>
  </si>
  <si>
    <t xml:space="preserve">Ile Thr Ser</t>
  </si>
  <si>
    <t xml:space="preserve">CCC(C)C(C(=O)NC(C(C)O)C(=O)NC(CO)C(=O)O)N</t>
  </si>
  <si>
    <t xml:space="preserve">WCNWGAUZWWSYDG-SVSWQMSJSA-N</t>
  </si>
  <si>
    <t xml:space="preserve">C13H25N3O6</t>
  </si>
  <si>
    <t xml:space="preserve">2.12_288.1565m/z</t>
  </si>
  <si>
    <t xml:space="preserve">Thr Ala Val</t>
  </si>
  <si>
    <t xml:space="preserve">CC(C)C(C(=O)O)NC(=O)C(C)NC(=O)C(C(C)O)N</t>
  </si>
  <si>
    <t xml:space="preserve">XSLXHSYIVPGEER-KZVJFYERSA-N</t>
  </si>
  <si>
    <t xml:space="preserve">C12H23N3O5</t>
  </si>
  <si>
    <t xml:space="preserve">1.11_302.1356m/z</t>
  </si>
  <si>
    <t xml:space="preserve">Pro Thr Ser</t>
  </si>
  <si>
    <t xml:space="preserve">CC(C(C(=O)NC(CO)C(=O)O)NC(=O)C1CCCN1)O</t>
  </si>
  <si>
    <t xml:space="preserve">RMJZWERKFFNNNS-XGEHTFHBSA-N</t>
  </si>
  <si>
    <t xml:space="preserve">0.74_258.0560m/z</t>
  </si>
  <si>
    <t xml:space="preserve">Arasc</t>
  </si>
  <si>
    <t xml:space="preserve">HMDB0248564</t>
  </si>
  <si>
    <t xml:space="preserve">NC1=NC(=S)N(C=C1)C1OC(CO)C(O)C1O</t>
  </si>
  <si>
    <t xml:space="preserve">RHFUOMFWUGWKKO-UHFFFAOYSA-N</t>
  </si>
  <si>
    <t xml:space="preserve">Pyrimidine nucleosides</t>
  </si>
  <si>
    <t xml:space="preserve">C9H13N3O4S</t>
  </si>
  <si>
    <t xml:space="preserve">4.04_359.2291m/z</t>
  </si>
  <si>
    <t xml:space="preserve">Gln Val Leu</t>
  </si>
  <si>
    <t xml:space="preserve">CC(C)CC(C(=O)O)NC(=O)C(C(C)C)NC(=O)C(CCC(=O)N)N</t>
  </si>
  <si>
    <t xml:space="preserve">VEYGCDYMOXHJLS-GVXVVHGQSA-N</t>
  </si>
  <si>
    <t xml:space="preserve">C16H30N4O5</t>
  </si>
  <si>
    <t xml:space="preserve">2.37_346.1619m/z</t>
  </si>
  <si>
    <t xml:space="preserve">Thr Leu Asp</t>
  </si>
  <si>
    <t xml:space="preserve">CC(C)CC(C(=O)NC(CC(=O)O)C(=O)O)NC(=O)C(C(C)O)N</t>
  </si>
  <si>
    <t xml:space="preserve">RRRRCRYTLZVCEN-HJGDQZAQSA-N</t>
  </si>
  <si>
    <t xml:space="preserve">4.00_261.1116n</t>
  </si>
  <si>
    <t xml:space="preserve">Glycyl-Tryptophan</t>
  </si>
  <si>
    <t xml:space="preserve">HMDB0028852</t>
  </si>
  <si>
    <t xml:space="preserve">NCC(=O)NC(CC1=CNC2=CC=CC=C12)C(O)=O</t>
  </si>
  <si>
    <t xml:space="preserve">AJHCSUXXECOXOY-UHFFFAOYSA-N</t>
  </si>
  <si>
    <t xml:space="preserve">C13H15N3O3</t>
  </si>
  <si>
    <t xml:space="preserve">0.75_304.1148m/z</t>
  </si>
  <si>
    <t xml:space="preserve">Hydroxyprolyl-Gamma-Glutamate</t>
  </si>
  <si>
    <t xml:space="preserve">HMDB0028877</t>
  </si>
  <si>
    <t xml:space="preserve">NC(CCC(=O)NC(=O)C1CC(O)CN1)C(O)=O</t>
  </si>
  <si>
    <t xml:space="preserve">NPKNLZYTSOWNFP-UHFFFAOYSA-N</t>
  </si>
  <si>
    <t xml:space="preserve">C10H17N3O5</t>
  </si>
  <si>
    <t xml:space="preserve">11.73_467.3381n</t>
  </si>
  <si>
    <t xml:space="preserve">PE(O-18:0/0:0)</t>
  </si>
  <si>
    <t xml:space="preserve">LMGP02060003</t>
  </si>
  <si>
    <t xml:space="preserve">[C@](COP(=O)(O)OCCN)([H])(O)COCCCCCCCCCCCCCCCCCC</t>
  </si>
  <si>
    <t xml:space="preserve">JIJGULMDDZORPH-HSZRJFAPSA-N</t>
  </si>
  <si>
    <t xml:space="preserve">Glycerophosphoethanolamines</t>
  </si>
  <si>
    <t xml:space="preserve">C23H50NO6P</t>
  </si>
  <si>
    <t xml:space="preserve">1.13_376.1717m/z</t>
  </si>
  <si>
    <t xml:space="preserve">Val Glu Glu</t>
  </si>
  <si>
    <t xml:space="preserve">CC(C)C(C(=O)NC(CCC(=O)O)C(=O)NC(CCC(=O)O)C(=O)O)N</t>
  </si>
  <si>
    <t xml:space="preserve">SZTTYWIUCGSURQ-AUTRQRHGSA-N</t>
  </si>
  <si>
    <t xml:space="preserve">5.79_342.0990m/z</t>
  </si>
  <si>
    <t xml:space="preserve">(S)-Annocherine A</t>
  </si>
  <si>
    <t xml:space="preserve">HMDB0038723</t>
  </si>
  <si>
    <t xml:space="preserve">COC1=C(O)C=C2C(C=CN=C2C(O)C2=CC=C(O)C=C2)=C1</t>
  </si>
  <si>
    <t xml:space="preserve">XWZBLZPLPZOXQV-UHFFFAOYSA-N</t>
  </si>
  <si>
    <t xml:space="preserve">Isoquinolines and derivatives</t>
  </si>
  <si>
    <t xml:space="preserve">Benzylisoquinolines</t>
  </si>
  <si>
    <t xml:space="preserve">C17H15NO4</t>
  </si>
  <si>
    <t xml:space="preserve">0.77_245.1370n</t>
  </si>
  <si>
    <t xml:space="preserve">Valylglutamine</t>
  </si>
  <si>
    <t xml:space="preserve">HMDB0029125</t>
  </si>
  <si>
    <t xml:space="preserve">42854-54-6</t>
  </si>
  <si>
    <t xml:space="preserve">CC(C)[C@H](N)C(=O)N[C@@H](CCC(N)=O)C(O)=O</t>
  </si>
  <si>
    <t xml:space="preserve">XXDVDTMEVBYRPK-XPUUQOCRSA-N</t>
  </si>
  <si>
    <t xml:space="preserve">M-H, M+FA-H, M-H2O-H</t>
  </si>
  <si>
    <t xml:space="preserve">3.97_316.2235m/z</t>
  </si>
  <si>
    <t xml:space="preserve">Ile Leu Ala</t>
  </si>
  <si>
    <t xml:space="preserve">CCC(C)C(C(=O)NC(CC(C)C)C(=O)NC(C)C(=O)O)N</t>
  </si>
  <si>
    <t xml:space="preserve">KLBVGHCGHUNHEA-BJDJZHNGSA-N</t>
  </si>
  <si>
    <t xml:space="preserve">C15H29N3O4</t>
  </si>
  <si>
    <t xml:space="preserve">3.64_146.0602m/z</t>
  </si>
  <si>
    <t xml:space="preserve">4-Formyl Indole</t>
  </si>
  <si>
    <t xml:space="preserve">C1=CC(=C2C=CNC2=C1)C=O</t>
  </si>
  <si>
    <t xml:space="preserve">JFDDFGLNZWNJTK-UHFFFAOYSA-N</t>
  </si>
  <si>
    <t xml:space="preserve">C9H7NO</t>
  </si>
  <si>
    <t xml:space="preserve">3.16_316.1513m/z</t>
  </si>
  <si>
    <t xml:space="preserve">Asp Ile Ala</t>
  </si>
  <si>
    <t xml:space="preserve">CCC(C)C(C(=O)NC(C)C(=O)O)NC(=O)C(CC(=O)O)N</t>
  </si>
  <si>
    <t xml:space="preserve">KTTCQQNRRLCIBC-GHCJXIJMSA-N</t>
  </si>
  <si>
    <t xml:space="preserve">7.46_352.1198m/z</t>
  </si>
  <si>
    <t xml:space="preserve">N-Acetylanonaine</t>
  </si>
  <si>
    <t xml:space="preserve">HMDB0030349</t>
  </si>
  <si>
    <t xml:space="preserve">5894-74-6</t>
  </si>
  <si>
    <t xml:space="preserve">CC(=O)N1CCC2=CC3=C(OCO3)C3=C2C1CC1=CC=CC=C31</t>
  </si>
  <si>
    <t xml:space="preserve">XVIHBNVDAPQBRH-UHFFFAOYSA-N</t>
  </si>
  <si>
    <t xml:space="preserve">C19H17NO3</t>
  </si>
  <si>
    <t xml:space="preserve">0.74_217.0822m/z</t>
  </si>
  <si>
    <t xml:space="preserve">Gamma-Glutamylalanine</t>
  </si>
  <si>
    <t xml:space="preserve">HMDB0006248</t>
  </si>
  <si>
    <t xml:space="preserve">C03740</t>
  </si>
  <si>
    <t xml:space="preserve">hame00480</t>
  </si>
  <si>
    <t xml:space="preserve">Glutathione metabolism</t>
  </si>
  <si>
    <t xml:space="preserve">5875-41-2</t>
  </si>
  <si>
    <t xml:space="preserve">C[C@H](NC(=O)CC[C@H](N)C(O)=O)C(O)=O</t>
  </si>
  <si>
    <t xml:space="preserve">WQXXXVRAFAKQJM-WHFBIAKZSA-N</t>
  </si>
  <si>
    <t xml:space="preserve">C8H14N2O5</t>
  </si>
  <si>
    <t xml:space="preserve">13.43_100.9319m/z</t>
  </si>
  <si>
    <t xml:space="preserve">Sodium Hydrogen Sulfate</t>
  </si>
  <si>
    <t xml:space="preserve">HMDB0303517</t>
  </si>
  <si>
    <t xml:space="preserve">[Na+].OS([O-])(=O)=O</t>
  </si>
  <si>
    <t xml:space="preserve">WBHQBSYUUJJSRZ-UHFFFAOYSA-M</t>
  </si>
  <si>
    <t xml:space="preserve">HNaO4S</t>
  </si>
  <si>
    <t xml:space="preserve">11.67_816.6116m/z</t>
  </si>
  <si>
    <t xml:space="preserve">PC(18:0/P-18:1(11Z))</t>
  </si>
  <si>
    <t xml:space="preserve">HMDB0008062</t>
  </si>
  <si>
    <t xml:space="preserve">C00157</t>
  </si>
  <si>
    <t xml:space="preserve">hame00564,hame00590,hame00591,hame00592</t>
  </si>
  <si>
    <t xml:space="preserve">Glycerophospholipid metabolism|Arachidonic acid metabolism|Linoleic acid metabolism|alpha-Linolenic acid metabolism</t>
  </si>
  <si>
    <t xml:space="preserve">CCCCCCCCCCCCCCCCCC(=O)OCC(COP([O-])(=O)OCC[N+](C)(C)C)O\C=C/CCCCCCCC\C=C/CCCCCC</t>
  </si>
  <si>
    <t xml:space="preserve">JREOXIRIVLLXMO-MWNCGOSWSA-N</t>
  </si>
  <si>
    <t xml:space="preserve">C44H86NO7P</t>
  </si>
  <si>
    <t xml:space="preserve">1.59_332.1464m/z</t>
  </si>
  <si>
    <t xml:space="preserve">Val Glu Ser</t>
  </si>
  <si>
    <t xml:space="preserve">CC(C)C(C(=O)NC(CCC(=O)O)C(=O)NC(CO)C(=O)O)N</t>
  </si>
  <si>
    <t xml:space="preserve">OQWNEUXPKHIEJO-NRPADANISA-N</t>
  </si>
  <si>
    <t xml:space="preserve">4.22_378.1676m/z</t>
  </si>
  <si>
    <t xml:space="preserve">Asp Ile Met</t>
  </si>
  <si>
    <t xml:space="preserve">CCC(C)C(C(=O)NC(CCSC)C(=O)O)NC(=O)C(CC(=O)O)N</t>
  </si>
  <si>
    <t xml:space="preserve">LDLZOAJRXXBVGF-GMOBBJLQSA-N</t>
  </si>
  <si>
    <t xml:space="preserve">C15H27N3O6S</t>
  </si>
  <si>
    <t xml:space="preserve">7.02_930.4240m/z</t>
  </si>
  <si>
    <t xml:space="preserve">PGP(i-12:0/LTE4)</t>
  </si>
  <si>
    <t xml:space="preserve">HMDB0274819</t>
  </si>
  <si>
    <t xml:space="preserve">CCCCC\C=C/C\C=C/C=C/C=C/[C@@H](SC[C@H](N)C(=O)O[C@H](COC(=O)CCCCCCCCC(C)C)COP(O)(=O)OC[C@@H](O)COP(O)(O)=O)[C@@H](O)CCCC(O)=O</t>
  </si>
  <si>
    <t xml:space="preserve">VQJJGFMWQWOBMZ-KRNBELLXSA-N</t>
  </si>
  <si>
    <t xml:space="preserve">C41H73NO16P2S</t>
  </si>
  <si>
    <t xml:space="preserve">3.59_330.2024m/z</t>
  </si>
  <si>
    <t xml:space="preserve">Ile Pro Thr</t>
  </si>
  <si>
    <t xml:space="preserve">CCC(C)C(C(=O)N1CCCC1C(=O)NC(C(C)O)C(=O)O)N</t>
  </si>
  <si>
    <t xml:space="preserve">KTNGVMMGIQWIDV-OSUNSFLBSA-N</t>
  </si>
  <si>
    <t xml:space="preserve">C15H27N3O5</t>
  </si>
  <si>
    <t xml:space="preserve">3.71_396.1767m/z</t>
  </si>
  <si>
    <t xml:space="preserve">Phe Glu Thr</t>
  </si>
  <si>
    <t xml:space="preserve">CC(C(C(=O)O)NC(=O)C(CCC(=O)O)NC(=O)C(CC1=CC=CC=C1)N)O</t>
  </si>
  <si>
    <t xml:space="preserve">BFYHIHGIHGROAT-HTUGSXCWSA-N</t>
  </si>
  <si>
    <t xml:space="preserve">C18H25N3O7</t>
  </si>
  <si>
    <t xml:space="preserve">7.66_699.2955m/z</t>
  </si>
  <si>
    <t xml:space="preserve">Dienestrol Diacetate</t>
  </si>
  <si>
    <t xml:space="preserve">HMDB0251232</t>
  </si>
  <si>
    <t xml:space="preserve">CC=C(C(=CC)C1=CC=C(OC(C)=O)C=C1)C1=CC=C(OC(C)=O)C=C1</t>
  </si>
  <si>
    <t xml:space="preserve">YWLLGDVBTLPARJ-UHFFFAOYSA-N</t>
  </si>
  <si>
    <t xml:space="preserve">Stilbenes</t>
  </si>
  <si>
    <t xml:space="preserve">C22H22O4</t>
  </si>
  <si>
    <t xml:space="preserve">0.72_117.0423n</t>
  </si>
  <si>
    <t xml:space="preserve">L-Aspartate-Semialdehyde</t>
  </si>
  <si>
    <t xml:space="preserve">HMDB0012249</t>
  </si>
  <si>
    <t xml:space="preserve">C00441</t>
  </si>
  <si>
    <t xml:space="preserve">hame00260,hame00270,hame00300,hame00330,hame00400</t>
  </si>
  <si>
    <t xml:space="preserve">Glycine, serine and threonine metabolism|Cysteine and methionine metabolism|Lysine biosynthesis|Arginine and proline metabolism|Phenylalanine, tyrosine and tryptophan biosynthesis</t>
  </si>
  <si>
    <t xml:space="preserve">2338-03-6</t>
  </si>
  <si>
    <t xml:space="preserve">N[C@@H](CC=O)C(O)=O</t>
  </si>
  <si>
    <t xml:space="preserve">HOSWPDPVFBCLSY-VKHMYHEASA-N</t>
  </si>
  <si>
    <t xml:space="preserve">M+FA-H, 2M-H</t>
  </si>
  <si>
    <t xml:space="preserve">C4H7NO3</t>
  </si>
  <si>
    <t xml:space="preserve">4.54_376.2242m/z</t>
  </si>
  <si>
    <t xml:space="preserve">Leu Pro Phe</t>
  </si>
  <si>
    <t xml:space="preserve">CC(C)CC(C(=O)N1CCCC1C(=O)NC(CC2=CC=CC=C2)C(=O)O)N</t>
  </si>
  <si>
    <t xml:space="preserve">XXXXOVFBXRERQL-ULQDDVLXSA-N</t>
  </si>
  <si>
    <t xml:space="preserve">C20H29N3O4</t>
  </si>
  <si>
    <t xml:space="preserve">6.87_677.3118m/z</t>
  </si>
  <si>
    <t xml:space="preserve">2,5-Dimethyl-1,5-Hexadiene-3,4-Diol</t>
  </si>
  <si>
    <t xml:space="preserve">1031361</t>
  </si>
  <si>
    <t xml:space="preserve">CC(=C)C(C(C(=C)C)O)O</t>
  </si>
  <si>
    <t xml:space="preserve">DXPGGBHPAUGULX-UHFFFAOYSA-N</t>
  </si>
  <si>
    <t xml:space="preserve">C19H21N3O3</t>
  </si>
  <si>
    <t xml:space="preserve">6.60_324.1729m/z</t>
  </si>
  <si>
    <t xml:space="preserve">3-Oxo-14,15-Dehydrorhazinilam</t>
  </si>
  <si>
    <t xml:space="preserve">HMDB0039105</t>
  </si>
  <si>
    <t xml:space="preserve">139955-87-6</t>
  </si>
  <si>
    <t xml:space="preserve">CCC12CCC(=O)NC3=C(C=CC=C3)C3=C1N(C=C3)C(=O)C=C2</t>
  </si>
  <si>
    <t xml:space="preserve">KJVWQAWQDQXSLV-UHFFFAOYSA-N</t>
  </si>
  <si>
    <t xml:space="preserve">4.13_330.1672m/z</t>
  </si>
  <si>
    <t xml:space="preserve">Pro Ile Gly</t>
  </si>
  <si>
    <t xml:space="preserve">CCC(C)C(C(=O)NCC(=O)O)NC(=O)C1CCCN1</t>
  </si>
  <si>
    <t xml:space="preserve">XYHMFGGWNOFUOU-QXEWZRGKSA-N</t>
  </si>
  <si>
    <t xml:space="preserve">C13H23N3O4</t>
  </si>
  <si>
    <t xml:space="preserve">4.28_330.2389m/z</t>
  </si>
  <si>
    <t xml:space="preserve">Ile-Val-Val</t>
  </si>
  <si>
    <t xml:space="preserve">HMDB0304801</t>
  </si>
  <si>
    <t xml:space="preserve">CCC(C)C(N)C(O)=NC(C(C)C)C(O)=NC(C(C)C)C(O)=O</t>
  </si>
  <si>
    <t xml:space="preserve">YHFPHRUWZMEOIX-UHFFFAOYSA-N</t>
  </si>
  <si>
    <t xml:space="preserve">C16H31N3O4</t>
  </si>
  <si>
    <t xml:space="preserve">3.68_237.1234m/z</t>
  </si>
  <si>
    <t xml:space="preserve">Alanylphenylalanine</t>
  </si>
  <si>
    <t xml:space="preserve">HMDB0028694</t>
  </si>
  <si>
    <t xml:space="preserve">3061-90-3</t>
  </si>
  <si>
    <t xml:space="preserve">C[C@H](N)C(=O)N[C@@H](CC1=CC=CC=C1)C(O)=O</t>
  </si>
  <si>
    <t xml:space="preserve">OMNVYXHOSHNURL-WPRPVWTQSA-N</t>
  </si>
  <si>
    <t xml:space="preserve">C12H16N2O3</t>
  </si>
  <si>
    <t xml:space="preserve">3.64_204.0891n</t>
  </si>
  <si>
    <t xml:space="preserve">L-Tryptophan</t>
  </si>
  <si>
    <t xml:space="preserve">HMDB0000929</t>
  </si>
  <si>
    <t xml:space="preserve">C00078</t>
  </si>
  <si>
    <t xml:space="preserve">hame00260,hame00380,hame00400,hame00970</t>
  </si>
  <si>
    <t xml:space="preserve">Glycine, serine and threonine metabolism|Tryptophan metabolism|Phenylalanine, tyrosine and tryptophan biosynthesis|Aminoacyl-tRNA biosynthesis</t>
  </si>
  <si>
    <t xml:space="preserve">73-22-3</t>
  </si>
  <si>
    <t xml:space="preserve">N[C@@H](CC1=CNC2=C1C=CC=C2)C(O)=O</t>
  </si>
  <si>
    <t xml:space="preserve">QIVBCDIJIAJPQS-VIFPVBQESA-N</t>
  </si>
  <si>
    <t xml:space="preserve">Indolyl carboxylic acids and derivatives</t>
  </si>
  <si>
    <t xml:space="preserve">C11H12N2O2</t>
  </si>
  <si>
    <t xml:space="preserve">2.41_248.1161n</t>
  </si>
  <si>
    <t xml:space="preserve">Cyclic 3-Hydroxymelatonin</t>
  </si>
  <si>
    <t xml:space="preserve">HMDB0060069</t>
  </si>
  <si>
    <t xml:space="preserve">COC1=CC2=C(NC3N(CCC23O)C(C)=O)C=C1</t>
  </si>
  <si>
    <t xml:space="preserve">VADOSKJWFKUPQF-UHFFFAOYSA-N</t>
  </si>
  <si>
    <t xml:space="preserve">Pyrroloindoles</t>
  </si>
  <si>
    <t xml:space="preserve">C13H16N2O3</t>
  </si>
  <si>
    <t xml:space="preserve">4.15_302.2075m/z</t>
  </si>
  <si>
    <t xml:space="preserve">Ala Leu Val</t>
  </si>
  <si>
    <t xml:space="preserve">CC(C)CC(C(=O)NC(C(C)C)C(=O)O)NC(=O)C(C)N</t>
  </si>
  <si>
    <t xml:space="preserve">UJJUHXAJSRHWFZ-DCAQKATOSA-N</t>
  </si>
  <si>
    <t xml:space="preserve">1.99_388.1726m/z</t>
  </si>
  <si>
    <t xml:space="preserve">Val Pro Glu</t>
  </si>
  <si>
    <t xml:space="preserve">CC(C)C(C(=O)N1CCCC1C(=O)NC(CCC(=O)O)C(=O)O)N</t>
  </si>
  <si>
    <t xml:space="preserve">RYQUMYBMOJYYDK-NHCYSSNCSA-N</t>
  </si>
  <si>
    <t xml:space="preserve">2.10_374.1568m/z</t>
  </si>
  <si>
    <t xml:space="preserve">Glu Glu Val</t>
  </si>
  <si>
    <t xml:space="preserve">CC(C)C(C(=O)O)NC(=O)C(CCC(=O)O)NC(=O)C(CCC(=O)O)N</t>
  </si>
  <si>
    <t xml:space="preserve">QJCKNLPMTPXXEM-AUTRQRHGSA-N</t>
  </si>
  <si>
    <t xml:space="preserve">4.00_345.2135m/z</t>
  </si>
  <si>
    <t xml:space="preserve">Asn Val Leu</t>
  </si>
  <si>
    <t xml:space="preserve">CC(C)CC(C(=O)O)NC(=O)C(C(C)C)NC(=O)C(CC(=O)N)N</t>
  </si>
  <si>
    <t xml:space="preserve">CBHVAFXKOYAHOY-NHCYSSNCSA-N</t>
  </si>
  <si>
    <t xml:space="preserve">C15H28N4O5</t>
  </si>
  <si>
    <t xml:space="preserve">1.87_282.1426m/z</t>
  </si>
  <si>
    <t xml:space="preserve">Ala Ala Val</t>
  </si>
  <si>
    <t xml:space="preserve">CC(C)C(C(=O)O)NC(=O)C(C)NC(=O)C(C)N</t>
  </si>
  <si>
    <t xml:space="preserve">GJMNLCSOIHOLQZ-FXQIFTODSA-N</t>
  </si>
  <si>
    <t xml:space="preserve">C11H21N3O4</t>
  </si>
  <si>
    <t xml:space="preserve">5.03_380.1747m/z</t>
  </si>
  <si>
    <t xml:space="preserve">Hydroxychloroquine</t>
  </si>
  <si>
    <t xml:space="preserve">HMDB0015549</t>
  </si>
  <si>
    <t xml:space="preserve">C07043</t>
  </si>
  <si>
    <t xml:space="preserve">118-42-3</t>
  </si>
  <si>
    <t xml:space="preserve">CCN(CCO)CCCC(C)NC1=C2C=CC(Cl)=CC2=NC=C1</t>
  </si>
  <si>
    <t xml:space="preserve">XXSMGPRMXLTPCZ-UHFFFAOYSA-N</t>
  </si>
  <si>
    <t xml:space="preserve">C18H26ClN3O</t>
  </si>
  <si>
    <t xml:space="preserve">4.43_373.2447m/z</t>
  </si>
  <si>
    <t xml:space="preserve">Gln Ile Ile</t>
  </si>
  <si>
    <t xml:space="preserve">CCC(C)C(C(=O)NC(C(C)CC)C(=O)O)NC(=O)C(CCC(=O)N)N</t>
  </si>
  <si>
    <t xml:space="preserve">RGAOLBZBLOJUTP-GRLWGSQLSA-N</t>
  </si>
  <si>
    <t xml:space="preserve">C17H32N4O5</t>
  </si>
  <si>
    <t xml:space="preserve">3.08_281.1117m/z</t>
  </si>
  <si>
    <t xml:space="preserve">Promazine 5-Sulfoxide</t>
  </si>
  <si>
    <t xml:space="preserve">HMDB0013938</t>
  </si>
  <si>
    <t xml:space="preserve">146-21-4</t>
  </si>
  <si>
    <t xml:space="preserve">CN(C)CCCN1C2=CC=CC=C2S(=O)C2=CC=CC=C12</t>
  </si>
  <si>
    <t xml:space="preserve">KSHDHDWHIWBNHA-UHFFFAOYSA-N</t>
  </si>
  <si>
    <t xml:space="preserve">Benzothiazines</t>
  </si>
  <si>
    <t xml:space="preserve">Phenothiazines</t>
  </si>
  <si>
    <t xml:space="preserve">C17H20N2OS</t>
  </si>
  <si>
    <t xml:space="preserve">6.04_353.9917m/z</t>
  </si>
  <si>
    <t xml:space="preserve">Pc190723</t>
  </si>
  <si>
    <t xml:space="preserve">951120-33-5</t>
  </si>
  <si>
    <t xml:space="preserve">C1=CC(=C(C(=C1OCC2=NC3=C(S2)N=CC(=C3)Cl)F)C(=O)N)F</t>
  </si>
  <si>
    <t xml:space="preserve">INYJNSBDHOVLAH-UHFFFAOYSA-N</t>
  </si>
  <si>
    <t xml:space="preserve">C14H8ClF2N3O2S</t>
  </si>
  <si>
    <t xml:space="preserve">1.06_192.0259n</t>
  </si>
  <si>
    <t xml:space="preserve">Citric Acid</t>
  </si>
  <si>
    <t xml:space="preserve">HMDB0000094</t>
  </si>
  <si>
    <t xml:space="preserve">C00158</t>
  </si>
  <si>
    <t xml:space="preserve">hame00020,hame00250,hame00630</t>
  </si>
  <si>
    <t xml:space="preserve">Citrate cycle (TCA cycle)|Alanine, aspartate and glutamate metabolism|Glyoxylate and dicarboxylate metabolism</t>
  </si>
  <si>
    <t xml:space="preserve">77-92-9</t>
  </si>
  <si>
    <t xml:space="preserve">OC(=O)CC(O)(CC(O)=O)C(O)=O</t>
  </si>
  <si>
    <t xml:space="preserve">KRKNYBCHXYNGOX-UHFFFAOYSA-N</t>
  </si>
  <si>
    <t xml:space="preserve">Tricarboxylic acids and derivatives</t>
  </si>
  <si>
    <t xml:space="preserve">C6H8O7</t>
  </si>
  <si>
    <t xml:space="preserve">1.68_252.1112n</t>
  </si>
  <si>
    <t xml:space="preserve">Alanyltyrosine</t>
  </si>
  <si>
    <t xml:space="preserve">HMDB0028699</t>
  </si>
  <si>
    <t xml:space="preserve">3061-88-9</t>
  </si>
  <si>
    <t xml:space="preserve">C[C@H](N)C(=O)N[C@@H](CC1=CC=C(O)C=C1)C(O)=O</t>
  </si>
  <si>
    <t xml:space="preserve">ALZVPLKYDKJKQU-XVKPBYJWSA-N</t>
  </si>
  <si>
    <t xml:space="preserve">C12H16N2O4</t>
  </si>
  <si>
    <t xml:space="preserve">3.68_414.2116n</t>
  </si>
  <si>
    <t xml:space="preserve">Methyl Reserpate</t>
  </si>
  <si>
    <t xml:space="preserve">2901-66-8</t>
  </si>
  <si>
    <t xml:space="preserve">COC1C(CC2CN3CCC4=C(C3CC2C1C(=O)OC)NC5=C4C=CC(=C5)OC)O</t>
  </si>
  <si>
    <t xml:space="preserve">MDJQWFFIUHUJSB-UQVJXISSSA-N</t>
  </si>
  <si>
    <t xml:space="preserve">Yohimbine alkaloids</t>
  </si>
  <si>
    <t xml:space="preserve">C23H30N2O5</t>
  </si>
  <si>
    <t xml:space="preserve">0.70_203.0664m/z</t>
  </si>
  <si>
    <t xml:space="preserve">Gamma-Glutamylglycine</t>
  </si>
  <si>
    <t xml:space="preserve">HMDB0011667</t>
  </si>
  <si>
    <t xml:space="preserve">1948-29-4</t>
  </si>
  <si>
    <t xml:space="preserve">N[C@@H](CCC(=O)NCC(O)=O)C(O)=O</t>
  </si>
  <si>
    <t xml:space="preserve">ACIJGUBIMXQCMF-BYPYZUCNSA-N</t>
  </si>
  <si>
    <t xml:space="preserve">C7H12N2O5</t>
  </si>
  <si>
    <t xml:space="preserve">4.00_443.2505m/z</t>
  </si>
  <si>
    <t xml:space="preserve">Arg Asn His</t>
  </si>
  <si>
    <t xml:space="preserve">C1=C(NC=N1)CC(C(=O)O)NC(=O)C(CC(=O)N)NC(=O)C(CCCN=C(N)N)N</t>
  </si>
  <si>
    <t xml:space="preserve">NUBPTCMEOCKWDO-DCAQKATOSA-N</t>
  </si>
  <si>
    <t xml:space="preserve">C16H27N9O5</t>
  </si>
  <si>
    <t xml:space="preserve">3.61_348.1767m/z</t>
  </si>
  <si>
    <t xml:space="preserve">Thr Asp Leu</t>
  </si>
  <si>
    <t xml:space="preserve">CC(C)CC(C(=O)O)NC(=O)C(CC(=O)O)NC(=O)C(C(C)O)N</t>
  </si>
  <si>
    <t xml:space="preserve">NLSNVZAREYQMGR-HJGDQZAQSA-N</t>
  </si>
  <si>
    <t xml:space="preserve">8.23_326.1431m/z</t>
  </si>
  <si>
    <t xml:space="preserve">(S)-3-(3-(Methylsulfonyl)Phenyl)-1-Propylpiperidine</t>
  </si>
  <si>
    <t xml:space="preserve">HMDB0244647</t>
  </si>
  <si>
    <t xml:space="preserve">CCCN1CCCC(C1)C1=CC(=CC=C1)S(C)(=O)=O</t>
  </si>
  <si>
    <t xml:space="preserve">GZVBVBMMNFIXGE-UHFFFAOYSA-N</t>
  </si>
  <si>
    <t xml:space="preserve">C15H23NO2S</t>
  </si>
  <si>
    <t xml:space="preserve">1.07_244.1060n</t>
  </si>
  <si>
    <t xml:space="preserve">Gamma-Glutamylproline</t>
  </si>
  <si>
    <t xml:space="preserve">HMDB0029157</t>
  </si>
  <si>
    <t xml:space="preserve">53411-63-5</t>
  </si>
  <si>
    <t xml:space="preserve">N[C@@H](CCC(=O)N1CCC[C@H]1C(O)=O)C(O)=O</t>
  </si>
  <si>
    <t xml:space="preserve">VBCZKAGVUKCANO-BQBZGAKWSA-N</t>
  </si>
  <si>
    <t xml:space="preserve">M+H-H2O, M+NH4, M+H</t>
  </si>
  <si>
    <t xml:space="preserve">C10H16N2O5</t>
  </si>
  <si>
    <t xml:space="preserve">8.49_386.1620m/z</t>
  </si>
  <si>
    <t xml:space="preserve">Nitro-Prednisolone</t>
  </si>
  <si>
    <t xml:space="preserve">HMDB0255638</t>
  </si>
  <si>
    <t xml:space="preserve">CC12CC(O)C3C(CCC4=CC(=O)C=C([N+]([O-])=O)C34C)C1CCC2(O)C(=O)CO</t>
  </si>
  <si>
    <t xml:space="preserve">SRWYCDBOOSCYHU-UHFFFAOYSA-N</t>
  </si>
  <si>
    <t xml:space="preserve">C21H27NO7</t>
  </si>
  <si>
    <t xml:space="preserve">6.30_355.1424n</t>
  </si>
  <si>
    <t xml:space="preserve">Gravacridonediol Methyl Ether</t>
  </si>
  <si>
    <t xml:space="preserve">HMDB0029327</t>
  </si>
  <si>
    <t xml:space="preserve">37551-76-1</t>
  </si>
  <si>
    <t xml:space="preserve">COCC(C)(O)C1CC2=C(O1)C=C(O)C1=C2N(C)C2=C(C=CC=C2)C1=O</t>
  </si>
  <si>
    <t xml:space="preserve">YYTVGIBSAJVHGD-UHFFFAOYSA-N</t>
  </si>
  <si>
    <t xml:space="preserve">Benzoquinolines</t>
  </si>
  <si>
    <t xml:space="preserve">1.36_176.0660m/z</t>
  </si>
  <si>
    <t xml:space="preserve">4,5-Dihydroorotic Acid</t>
  </si>
  <si>
    <t xml:space="preserve">HMDB0000528</t>
  </si>
  <si>
    <t xml:space="preserve">C00337</t>
  </si>
  <si>
    <t xml:space="preserve">155-54-4</t>
  </si>
  <si>
    <t xml:space="preserve">OC(=O)C1CC(=O)NC(=O)N1</t>
  </si>
  <si>
    <t xml:space="preserve">UFIVEPVSAGBUSI-UHFFFAOYSA-N</t>
  </si>
  <si>
    <t xml:space="preserve">C5H6N2O4</t>
  </si>
  <si>
    <t xml:space="preserve">1.31_205.0644m/z</t>
  </si>
  <si>
    <t xml:space="preserve">Glycyl-Methionine</t>
  </si>
  <si>
    <t xml:space="preserve">HMDB0028847</t>
  </si>
  <si>
    <t xml:space="preserve">CSCCC(NC(=O)CN)C(O)=O</t>
  </si>
  <si>
    <t xml:space="preserve">PFMUCCYYAAFKTH-UHFFFAOYSA-N</t>
  </si>
  <si>
    <t xml:space="preserve">C7H14N2O3S</t>
  </si>
  <si>
    <t xml:space="preserve">2.65_374.1568m/z</t>
  </si>
  <si>
    <t xml:space="preserve">Asp Pro Val</t>
  </si>
  <si>
    <t xml:space="preserve">CC(C)C(C(=O)O)NC(=O)C1CCCN1C(=O)C(CC(=O)O)N</t>
  </si>
  <si>
    <t xml:space="preserve">DINOVZWPTMGSRF-QXEWZRGKSA-N</t>
  </si>
  <si>
    <t xml:space="preserve">C14H23N3O6</t>
  </si>
  <si>
    <t xml:space="preserve">10.30_200.2010m/z</t>
  </si>
  <si>
    <t xml:space="preserve">Dodecanamide</t>
  </si>
  <si>
    <t xml:space="preserve">HMDB0251566</t>
  </si>
  <si>
    <t xml:space="preserve">LMFA08010001</t>
  </si>
  <si>
    <t xml:space="preserve">C13831</t>
  </si>
  <si>
    <t xml:space="preserve">NC(CCCCCCCCCCC)=O</t>
  </si>
  <si>
    <t xml:space="preserve">ILRSCQWREDREME-UHFFFAOYSA-N</t>
  </si>
  <si>
    <t xml:space="preserve">Fatty amides</t>
  </si>
  <si>
    <t xml:space="preserve">C12H25NO</t>
  </si>
  <si>
    <t xml:space="preserve">3.56_366.2138m/z</t>
  </si>
  <si>
    <t xml:space="preserve">(1s,2s,4s,5s)-2,4,7-Thujanetriol 4-Glucoside</t>
  </si>
  <si>
    <t xml:space="preserve">HMDB0033645</t>
  </si>
  <si>
    <t xml:space="preserve">240495-80-1</t>
  </si>
  <si>
    <t xml:space="preserve">CC(C)(O)C12CC1C(C)(CC2O)OC1OC(CO)C(O)C(O)C1O</t>
  </si>
  <si>
    <t xml:space="preserve">XCEFCWBOZHJCAP-UHFFFAOYSA-N</t>
  </si>
  <si>
    <t xml:space="preserve">Terpene glycosides</t>
  </si>
  <si>
    <t xml:space="preserve">C16H28O8</t>
  </si>
  <si>
    <t xml:space="preserve">4.49_521.2254m/z</t>
  </si>
  <si>
    <t xml:space="preserve">Atorvastatin Lactone</t>
  </si>
  <si>
    <t xml:space="preserve">HMDB0248704</t>
  </si>
  <si>
    <t xml:space="preserve">CC(C)C1=C(C(=O)NC2=CC=CC=C2)C(=C(N1CCC1CC(O)CC(=O)O1)C1=CC=C(F)C=C1)C1=CC=CC=C1</t>
  </si>
  <si>
    <t xml:space="preserve">OUCSEDFVYPBLLF-UHFFFAOYSA-N</t>
  </si>
  <si>
    <t xml:space="preserve">C33H33FN2O4</t>
  </si>
  <si>
    <t xml:space="preserve">4.53_271.1684n</t>
  </si>
  <si>
    <t xml:space="preserve">O-Desmethyl Pyrilamine</t>
  </si>
  <si>
    <t xml:space="preserve">HMDB0255853</t>
  </si>
  <si>
    <t xml:space="preserve">CN(C)CCN(CC1=CC=C(O)C=C1)C1=CC=CC=N1</t>
  </si>
  <si>
    <t xml:space="preserve">FCFBHFOEKQWQBR-UHFFFAOYSA-N</t>
  </si>
  <si>
    <t xml:space="preserve">C16H21N3O</t>
  </si>
  <si>
    <t xml:space="preserve">4.36_575.1982m/z</t>
  </si>
  <si>
    <t xml:space="preserve">Zizybeoside Ii</t>
  </si>
  <si>
    <t xml:space="preserve">HMDB0034955</t>
  </si>
  <si>
    <t xml:space="preserve">C17565</t>
  </si>
  <si>
    <t xml:space="preserve">81417-79-0</t>
  </si>
  <si>
    <t xml:space="preserve">OCC1OC(OC2C(O)C(CO)OC(OCC3=CC=CC=C3)C2OC2OC(CO)C(O)C(O)C2O)C(O)C(O)C1O</t>
  </si>
  <si>
    <t xml:space="preserve">BEDWWZCYHCGAKV-UHFFFAOYSA-N</t>
  </si>
  <si>
    <t xml:space="preserve">C25H38O16</t>
  </si>
  <si>
    <t xml:space="preserve">4.11_332.2181m/z</t>
  </si>
  <si>
    <t xml:space="preserve">Val Thr Leu</t>
  </si>
  <si>
    <t xml:space="preserve">CC(C)CC(C(=O)O)NC(=O)C(C(C)O)NC(=O)C(C(C)C)N</t>
  </si>
  <si>
    <t xml:space="preserve">LCHZBEUVGAVMKS-RHYQMDGZSA-N</t>
  </si>
  <si>
    <t xml:space="preserve">11.32_482.3243m/z</t>
  </si>
  <si>
    <t xml:space="preserve">PE(0:0/18:0)</t>
  </si>
  <si>
    <t xml:space="preserve">HMDB0011129</t>
  </si>
  <si>
    <t xml:space="preserve">LMGP02050038</t>
  </si>
  <si>
    <t xml:space="preserve">899443-67-5</t>
  </si>
  <si>
    <t xml:space="preserve">C(OP(OCCN)(O)=O)[C@]([H])(OC(=O)CCCCCCCCCCCCCCCCC)CO</t>
  </si>
  <si>
    <t xml:space="preserve">KIHAGWUUUHJRMS-JOCHJYFZSA-N</t>
  </si>
  <si>
    <t xml:space="preserve">C23H48NO7P</t>
  </si>
  <si>
    <t xml:space="preserve">4.08_333.1328n</t>
  </si>
  <si>
    <t xml:space="preserve">Glutamyltryptophan</t>
  </si>
  <si>
    <t xml:space="preserve">HMDB0028830</t>
  </si>
  <si>
    <t xml:space="preserve">38101-59-6</t>
  </si>
  <si>
    <t xml:space="preserve">N[C@@H](CCC(O)=O)C(=O)N[C@@H](CC1=CNC2=CC=CC=C12)C(O)=O</t>
  </si>
  <si>
    <t xml:space="preserve">LLEUXCDZPQOJMY-AAEUAGOBSA-N</t>
  </si>
  <si>
    <t xml:space="preserve">C16H19N3O5</t>
  </si>
  <si>
    <t xml:space="preserve">4.24_327.1152m/z</t>
  </si>
  <si>
    <t xml:space="preserve">2-(4-Methylphenoxy)-7-(4-Chlorophenyl)Heptanoic Acid</t>
  </si>
  <si>
    <t xml:space="preserve">HMDB0244635</t>
  </si>
  <si>
    <t xml:space="preserve">CC1=CC=C(OC(CCCCCC2=CC=C(Cl)C=C2)C(O)=O)C=C1</t>
  </si>
  <si>
    <t xml:space="preserve">DDDYMWYRGWBBNA-UHFFFAOYSA-N</t>
  </si>
  <si>
    <t xml:space="preserve">C20H23ClO3</t>
  </si>
  <si>
    <t xml:space="preserve">0.59_158.9772m/z</t>
  </si>
  <si>
    <t xml:space="preserve">Allitridin</t>
  </si>
  <si>
    <t xml:space="preserve">HMDB0031154</t>
  </si>
  <si>
    <t xml:space="preserve">2050-87-5</t>
  </si>
  <si>
    <t xml:space="preserve">C=CCSSSCC=C</t>
  </si>
  <si>
    <t xml:space="preserve">UBAXRAHSPKWNCX-UHFFFAOYSA-N</t>
  </si>
  <si>
    <t xml:space="preserve">Organic trisulfides</t>
  </si>
  <si>
    <t xml:space="preserve">C6H10S3</t>
  </si>
  <si>
    <t xml:space="preserve">3.52_375.1879m/z</t>
  </si>
  <si>
    <t xml:space="preserve">Gln Asp Ile</t>
  </si>
  <si>
    <t xml:space="preserve">CCC(C)C(C(=O)O)NC(=O)C(CC(=O)O)NC(=O)C(CCC(=O)N)N</t>
  </si>
  <si>
    <t xml:space="preserve">CRRFJBGUGNNOCS-PEFMBERDSA-N</t>
  </si>
  <si>
    <t xml:space="preserve">C15H26N4O7</t>
  </si>
  <si>
    <t xml:space="preserve">5.86_362.1255m/z</t>
  </si>
  <si>
    <t xml:space="preserve">Piplartine</t>
  </si>
  <si>
    <t xml:space="preserve">HMDB0030341</t>
  </si>
  <si>
    <t xml:space="preserve">C10166</t>
  </si>
  <si>
    <t xml:space="preserve">20069-09-4</t>
  </si>
  <si>
    <t xml:space="preserve">COC1=CC(\C=C\C(=O)N2CCC=CC2=O)=CC(OC)=C1OC</t>
  </si>
  <si>
    <t xml:space="preserve">VABYUUZNAVQNPG-BQYQJAHWSA-N</t>
  </si>
  <si>
    <t xml:space="preserve">C17H19NO5</t>
  </si>
  <si>
    <t xml:space="preserve">8.18_353.2333m/z</t>
  </si>
  <si>
    <t xml:space="preserve">10,13-Epoxy-11-Methyloctadeca-10,12-Dienoic Acid</t>
  </si>
  <si>
    <t xml:space="preserve">HMDB0031091</t>
  </si>
  <si>
    <t xml:space="preserve">LMFA01150005</t>
  </si>
  <si>
    <t xml:space="preserve">57818-39-0</t>
  </si>
  <si>
    <t xml:space="preserve">C(O)(=O)CCCCCCCCC1OC(CCCCC)=CC=1C</t>
  </si>
  <si>
    <t xml:space="preserve">TUQVXFOSXOCQCM-UHFFFAOYSA-N</t>
  </si>
  <si>
    <t xml:space="preserve">C19H32O3</t>
  </si>
  <si>
    <t xml:space="preserve">7.99_471.2514m/z</t>
  </si>
  <si>
    <t xml:space="preserve">PA(21:4(6Z,9Z,12Z,15Z)/0:0)</t>
  </si>
  <si>
    <t xml:space="preserve">LMGP10050003</t>
  </si>
  <si>
    <t xml:space="preserve">[C@](COP(=O)(O)O)([H])(O)COC(CCCC/C=C\C/C=C\C/C=C\C/C=C\CCCCC)=O</t>
  </si>
  <si>
    <t xml:space="preserve">QGRGKKKASAUUCG-MDGVENSFSA-N</t>
  </si>
  <si>
    <t xml:space="preserve">C24H41O7P</t>
  </si>
  <si>
    <t xml:space="preserve">3.85_784.1503m/z</t>
  </si>
  <si>
    <t xml:space="preserve">Fad</t>
  </si>
  <si>
    <t xml:space="preserve">HMDB0001248</t>
  </si>
  <si>
    <t xml:space="preserve">C00016</t>
  </si>
  <si>
    <t xml:space="preserve">hame00740</t>
  </si>
  <si>
    <t xml:space="preserve">Riboflavin metabolism</t>
  </si>
  <si>
    <t xml:space="preserve">146-14-5</t>
  </si>
  <si>
    <t xml:space="preserve">CC1=CC2=C(C=C1C)N(C[C@H](O)[C@H](O)[C@H](O)COP(O)(=O)OP(O)(=O)OC[C@H]1O[C@H]([C@H](O)[C@@H]1O)N1C=NC3=C1N=CN=C3N)C1=NC(=O)NC(=O)C1=N2</t>
  </si>
  <si>
    <t xml:space="preserve">VWWQXMAJTJZDQX-UYBVJOGSSA-N</t>
  </si>
  <si>
    <t xml:space="preserve">Flavin nucleotides</t>
  </si>
  <si>
    <t xml:space="preserve">C27H33N9O15P2</t>
  </si>
  <si>
    <t xml:space="preserve">4.52_471.2818m/z</t>
  </si>
  <si>
    <t xml:space="preserve">PC(6:0/6:0)</t>
  </si>
  <si>
    <t xml:space="preserve">LMGP01011229</t>
  </si>
  <si>
    <t xml:space="preserve">[C@](COP(=O)([O-])OCC[N+](C)(C)C)([H])(OC(CCCCC)=O)COC(CCCCC)=O</t>
  </si>
  <si>
    <t xml:space="preserve">DVZARZBAWHITHR-GOSISDBHSA-N</t>
  </si>
  <si>
    <t xml:space="preserve">C20H40NO8P</t>
  </si>
  <si>
    <t xml:space="preserve">1.07_361.1717m/z</t>
  </si>
  <si>
    <t xml:space="preserve">Glu Val Asn</t>
  </si>
  <si>
    <t xml:space="preserve">CC(C)C(C(=O)NC(CC(=O)N)C(=O)O)NC(=O)C(CCC(=O)O)N</t>
  </si>
  <si>
    <t xml:space="preserve">UZWUBBRJWFTHTD-LAEOZQHASA-N</t>
  </si>
  <si>
    <t xml:space="preserve">3.69_290.1714m/z</t>
  </si>
  <si>
    <t xml:space="preserve">Thr Gly Ile</t>
  </si>
  <si>
    <t xml:space="preserve">CCC(C)C(C(=O)O)NC(=O)CNC(=O)C(C(C)O)N</t>
  </si>
  <si>
    <t xml:space="preserve">IMULJHHGAUZZFE-MBLNEYKQSA-N</t>
  </si>
  <si>
    <t xml:space="preserve">4.02_320.1624m/z</t>
  </si>
  <si>
    <t xml:space="preserve">Leu Gly Met</t>
  </si>
  <si>
    <t xml:space="preserve">CC(C)CC(C(=O)NCC(=O)NC(CCSC)C(=O)O)N</t>
  </si>
  <si>
    <t xml:space="preserve">QPXBPQUGXHURGP-UWVGGRQHSA-N</t>
  </si>
  <si>
    <t xml:space="preserve">C13H25N3O4S</t>
  </si>
  <si>
    <t xml:space="preserve">1.10_301.1516m/z</t>
  </si>
  <si>
    <t xml:space="preserve">Gln Val Gly</t>
  </si>
  <si>
    <t xml:space="preserve">CC(C)C(C(=O)NCC(=O)O)NC(=O)C(CCC(=O)N)N</t>
  </si>
  <si>
    <t xml:space="preserve">QGWXAMDECCKGRU-XVKPBYJWSA-N</t>
  </si>
  <si>
    <t xml:space="preserve">C12H22N4O5</t>
  </si>
  <si>
    <t xml:space="preserve">4.41_359.2290m/z</t>
  </si>
  <si>
    <t xml:space="preserve">Leu Asn Leu</t>
  </si>
  <si>
    <t xml:space="preserve">CC(C)CC(C(=O)NC(CC(=O)N)C(=O)NC(CC(C)C)C(=O)O)N</t>
  </si>
  <si>
    <t xml:space="preserve">JKGHDYGZRDWHGA-SRVKXCTJSA-N</t>
  </si>
  <si>
    <t xml:space="preserve">7.96_387.1207m/z</t>
  </si>
  <si>
    <t xml:space="preserve">Dictyoquinazol C</t>
  </si>
  <si>
    <t xml:space="preserve">HMDB0040442</t>
  </si>
  <si>
    <t xml:space="preserve">COC1=CC2=C(C=C1)N(CN(C2=O)C1=CC=C(OC)C=C1CO)C=O</t>
  </si>
  <si>
    <t xml:space="preserve">RFAIUXGESYTSKG-UHFFFAOYSA-N</t>
  </si>
  <si>
    <t xml:space="preserve">Diazanaphthalenes</t>
  </si>
  <si>
    <t xml:space="preserve">Benzodiazines</t>
  </si>
  <si>
    <t xml:space="preserve">C18H18N2O5</t>
  </si>
  <si>
    <t xml:space="preserve">3.73_473.2255m/z</t>
  </si>
  <si>
    <t xml:space="preserve">Vorapaxar</t>
  </si>
  <si>
    <t xml:space="preserve">HMDB0259873</t>
  </si>
  <si>
    <t xml:space="preserve">CCOC(=O)NC1CCC2C(CC3C(C(C)OC3=O)C2C=CC2=NC=C(C=C2)C2=CC(F)=CC=C2)C1</t>
  </si>
  <si>
    <t xml:space="preserve">ZBGXUVOIWDMMJE-UHFFFAOYSA-N</t>
  </si>
  <si>
    <t xml:space="preserve">Naphthofurans</t>
  </si>
  <si>
    <t xml:space="preserve">C29H33FN2O4</t>
  </si>
  <si>
    <t xml:space="preserve">7.94_649.3202m/z</t>
  </si>
  <si>
    <t xml:space="preserve">Thapsigargin</t>
  </si>
  <si>
    <t xml:space="preserve">HMDB0258957</t>
  </si>
  <si>
    <t xml:space="preserve">CCCCCCCC(=O)OC1C(OC(=O)C(C)=CC)C(C)=C2C3OC(=O)C(C)(O)C3(O)C(CC(C)(OC(C)=O)C12)OC(=O)CCC</t>
  </si>
  <si>
    <t xml:space="preserve">IXFPJGBNCFXKPI-UHFFFAOYSA-N</t>
  </si>
  <si>
    <t xml:space="preserve">Pentacarboxylic acids and derivatives</t>
  </si>
  <si>
    <t xml:space="preserve">C34H50O12</t>
  </si>
  <si>
    <t xml:space="preserve">0.59_169.0727n</t>
  </si>
  <si>
    <t xml:space="preserve">6-Hydroxydopamine</t>
  </si>
  <si>
    <t xml:space="preserve">HMDB0001537</t>
  </si>
  <si>
    <t xml:space="preserve">1199-18-4</t>
  </si>
  <si>
    <t xml:space="preserve">NCCC1=C(O)C=C(O)C(O)=C1</t>
  </si>
  <si>
    <t xml:space="preserve">DIVDFFZHCJEHGG-UHFFFAOYSA-N</t>
  </si>
  <si>
    <t xml:space="preserve">Phenols</t>
  </si>
  <si>
    <t xml:space="preserve">Benzenediols</t>
  </si>
  <si>
    <t xml:space="preserve">M+NH4, M+Na</t>
  </si>
  <si>
    <t xml:space="preserve">C8H11NO3</t>
  </si>
  <si>
    <t xml:space="preserve">6.80_599.3025m/z</t>
  </si>
  <si>
    <t xml:space="preserve">Streptomycin</t>
  </si>
  <si>
    <t xml:space="preserve">HMDB0015214</t>
  </si>
  <si>
    <t xml:space="preserve">C00413</t>
  </si>
  <si>
    <t xml:space="preserve">57-92-1</t>
  </si>
  <si>
    <t xml:space="preserve">CN[C@H]1[C@H](O)[C@@H](O)[C@H](CO)O[C@H]1O[C@H]1[C@H](O[C@H]2[C@H](O)[C@@H](O)[C@H](NC(N)=N)[C@@H](O)[C@@H]2NC(N)=N)O[C@@H](C)[C@]1(O)C=O</t>
  </si>
  <si>
    <t xml:space="preserve">UCSJYZPVAKXKNQ-HZYVHMACSA-N</t>
  </si>
  <si>
    <t xml:space="preserve">C21H39N7O12</t>
  </si>
  <si>
    <t xml:space="preserve">1.62_238.0956n</t>
  </si>
  <si>
    <t xml:space="preserve">Glycyltyrosine</t>
  </si>
  <si>
    <t xml:space="preserve">HMDB0028853</t>
  </si>
  <si>
    <t xml:space="preserve">658-79-7</t>
  </si>
  <si>
    <t xml:space="preserve">NCC(=O)N[C@@H](CC1=CC=C(O)C=C1)C(O)=O</t>
  </si>
  <si>
    <t xml:space="preserve">XBGGUPMXALFZOT-VIFPVBQESA-N</t>
  </si>
  <si>
    <t xml:space="preserve">C11H14N2O4</t>
  </si>
  <si>
    <t xml:space="preserve">4.28_461.2275n</t>
  </si>
  <si>
    <t xml:space="preserve">Pimozide</t>
  </si>
  <si>
    <t xml:space="preserve">HMDB0015232</t>
  </si>
  <si>
    <t xml:space="preserve">C07566</t>
  </si>
  <si>
    <t xml:space="preserve">2062-78-4</t>
  </si>
  <si>
    <t xml:space="preserve">FC1=CC=C(C=C1)C(CCCN1CCC(CC1)N1C(=O)NC2=CC=CC=C12)C1=CC=C(F)C=C1</t>
  </si>
  <si>
    <t xml:space="preserve">YVUQSNJEYSNKRX-UHFFFAOYSA-N</t>
  </si>
  <si>
    <t xml:space="preserve">M+H, M+NH4, M+Na</t>
  </si>
  <si>
    <t xml:space="preserve">C28H29F2N3O</t>
  </si>
  <si>
    <t xml:space="preserve">12.81_377.2728m/z</t>
  </si>
  <si>
    <t xml:space="preserve">Antalarmin</t>
  </si>
  <si>
    <t xml:space="preserve">HMDB0248455</t>
  </si>
  <si>
    <t xml:space="preserve">CCCCN(CC)C1=NC(C)=NC2=C1C(C)=C(C)N2C1=C(C)C=C(C)C=C1C</t>
  </si>
  <si>
    <t xml:space="preserve">IXPROWGEHNVJOY-UHFFFAOYSA-N</t>
  </si>
  <si>
    <t xml:space="preserve">Pyrroles</t>
  </si>
  <si>
    <t xml:space="preserve">Substituted pyrroles</t>
  </si>
  <si>
    <t xml:space="preserve">C24H34N4</t>
  </si>
  <si>
    <t xml:space="preserve">1.07_375.1876m/z</t>
  </si>
  <si>
    <t xml:space="preserve">16-Dimethylarsinoyl-9z-Hexadecenoic Acid</t>
  </si>
  <si>
    <t xml:space="preserve">LMFA00000032</t>
  </si>
  <si>
    <t xml:space="preserve">C(CCCCC/C=C\CCCCCCCC(O)=O)[As](C)(=O)C</t>
  </si>
  <si>
    <t xml:space="preserve">FZOQEVBDCNSQIJ-HYXAFXHYSA-N</t>
  </si>
  <si>
    <t xml:space="preserve">C18H35AsO3</t>
  </si>
  <si>
    <t xml:space="preserve">3.56_312.1919m/z</t>
  </si>
  <si>
    <t xml:space="preserve">Pro Val Pro</t>
  </si>
  <si>
    <t xml:space="preserve">CC(C)C(C(=O)N1CCCC1C(=O)O)NC(=O)C2CCCN2</t>
  </si>
  <si>
    <t xml:space="preserve">ZMLRZBWCXPQADC-TUAOUCFPSA-N</t>
  </si>
  <si>
    <t xml:space="preserve">C15H25N3O4</t>
  </si>
  <si>
    <t xml:space="preserve">0.72_193.1548m/z</t>
  </si>
  <si>
    <t xml:space="preserve">N-(2-Hydroxypropyl)Valine</t>
  </si>
  <si>
    <t xml:space="preserve">HMDB0254992</t>
  </si>
  <si>
    <t xml:space="preserve">CC(C)C(NCC(C)O)C(O)=O</t>
  </si>
  <si>
    <t xml:space="preserve">LQFKABMWUHITQU-UHFFFAOYSA-N</t>
  </si>
  <si>
    <t xml:space="preserve">C8H17NO3</t>
  </si>
  <si>
    <t xml:space="preserve">3.57_326.2077m/z</t>
  </si>
  <si>
    <t xml:space="preserve">L-Proline, 1-(1-L-Leucyl-L-Prolyl)-</t>
  </si>
  <si>
    <t xml:space="preserve">HMDB0253022</t>
  </si>
  <si>
    <t xml:space="preserve">CC(C)CC(N)C(=O)N1CCCC1C(=O)N1CCCC1C(O)=O</t>
  </si>
  <si>
    <t xml:space="preserve">DPURXCQCHSQPAN-UHFFFAOYSA-N</t>
  </si>
  <si>
    <t xml:space="preserve">C16H27N3O4</t>
  </si>
  <si>
    <t xml:space="preserve">4.30_396.2401n</t>
  </si>
  <si>
    <t xml:space="preserve">4-Benzofuranacetamide, N-Methyl-N-(7-(1-Pyrrolidinyl)-1-Oxaspiro(4.5)Dec-8-Yl)-</t>
  </si>
  <si>
    <t xml:space="preserve">HMDB0249570</t>
  </si>
  <si>
    <t xml:space="preserve">CN(C1CCC2(CCCO2)CC1N1CCCC1)C(=O)CC1=C2C=COC2=CC=C1</t>
  </si>
  <si>
    <t xml:space="preserve">JMBYBVLCYODBJQ-UHFFFAOYSA-N</t>
  </si>
  <si>
    <t xml:space="preserve">Benzofurans</t>
  </si>
  <si>
    <t xml:space="preserve">C24H32N2O3</t>
  </si>
  <si>
    <t xml:space="preserve">3.84_447.2454m/z</t>
  </si>
  <si>
    <t xml:space="preserve">Metapro</t>
  </si>
  <si>
    <t xml:space="preserve">HMDB0256718</t>
  </si>
  <si>
    <t xml:space="preserve">COC1C(CCC2(CO2)C1C1(C)OC1CC=C(C)C)OC(=O)NC(C(C)C)C(N)=O</t>
  </si>
  <si>
    <t xml:space="preserve">QBDVVYNLLXGUGN-UHFFFAOYSA-N</t>
  </si>
  <si>
    <t xml:space="preserve">C22H36N2O6</t>
  </si>
  <si>
    <t xml:space="preserve">4.36_500.2730m/z</t>
  </si>
  <si>
    <t xml:space="preserve">Vignatic Acid B</t>
  </si>
  <si>
    <t xml:space="preserve">HMDB0033617</t>
  </si>
  <si>
    <t xml:space="preserve">181485-20-1</t>
  </si>
  <si>
    <t xml:space="preserve">CC(C)CC(O)C(=O)NC1C(OC2=CC=C(CC(NC(=O)C(CC(C)C)NC1=O)C(O)=O)C=C2)C(C)C</t>
  </si>
  <si>
    <t xml:space="preserve">OPWAZQSWJQLOAK-UHFFFAOYSA-N</t>
  </si>
  <si>
    <t xml:space="preserve">C27H41N3O7</t>
  </si>
  <si>
    <t xml:space="preserve">3.59_232.1737m/z</t>
  </si>
  <si>
    <t xml:space="preserve">9,9-Dimethyl-1-(Sulfinylamino)Decane</t>
  </si>
  <si>
    <t xml:space="preserve">HMDB0247625</t>
  </si>
  <si>
    <t xml:space="preserve">CC(C)(C)CCCCCCCCN=S=O</t>
  </si>
  <si>
    <t xml:space="preserve">XCLBLPLSYOQBEP-UHFFFAOYSA-N</t>
  </si>
  <si>
    <t xml:space="preserve">C12H25NOS</t>
  </si>
  <si>
    <t xml:space="preserve">1.68_144.0425n</t>
  </si>
  <si>
    <t xml:space="preserve">3-Hydroxyadipic Acid 3,6-Lactone</t>
  </si>
  <si>
    <t xml:space="preserve">HMDB0029171</t>
  </si>
  <si>
    <t xml:space="preserve">60551-20-4</t>
  </si>
  <si>
    <t xml:space="preserve">[H]OC(=O)CC1([H])CCC(=O)O1</t>
  </si>
  <si>
    <t xml:space="preserve">BWEICTHJUIJQPH-UHFFFAOYSA-N</t>
  </si>
  <si>
    <t xml:space="preserve">Lactones</t>
  </si>
  <si>
    <t xml:space="preserve">Gamma butyrolactones</t>
  </si>
  <si>
    <t xml:space="preserve">C6H8O4</t>
  </si>
  <si>
    <t xml:space="preserve">3.50_252.1113n</t>
  </si>
  <si>
    <t xml:space="preserve">Serylphenylalanine</t>
  </si>
  <si>
    <t xml:space="preserve">HMDB0029046</t>
  </si>
  <si>
    <t xml:space="preserve">16875-28-8</t>
  </si>
  <si>
    <t xml:space="preserve">N[C@@H](CO)C(=O)N[C@@H](CC1=CC=CC=C1)C(O)=O</t>
  </si>
  <si>
    <t xml:space="preserve">PPQRSMGDOHLTBE-UWVGGRQHSA-N</t>
  </si>
  <si>
    <t xml:space="preserve">1.72_335.1154n</t>
  </si>
  <si>
    <t xml:space="preserve">Gly Glu Met</t>
  </si>
  <si>
    <t xml:space="preserve">CSCCC(C(=O)O)NC(=O)C(CCC(=O)O)NC(=O)CN</t>
  </si>
  <si>
    <t xml:space="preserve">NTOWAXLMQFKJPT-YUMQZZPRSA-N</t>
  </si>
  <si>
    <t xml:space="preserve">C12H21N3O6S</t>
  </si>
  <si>
    <t xml:space="preserve">11.87_464.3144m/z</t>
  </si>
  <si>
    <t xml:space="preserve">PE(O-18:1(9Z)/0:0)</t>
  </si>
  <si>
    <t xml:space="preserve">LMGP02060004</t>
  </si>
  <si>
    <t xml:space="preserve">[C@](COP(=O)(O)OCCN)([H])(O)COCCCCCCCC/C=C\CCCCCCCC</t>
  </si>
  <si>
    <t xml:space="preserve">CDONWGCJDDHTLP-DJYGDJEFSA-N</t>
  </si>
  <si>
    <t xml:space="preserve">C23H48NO6P</t>
  </si>
  <si>
    <t xml:space="preserve">7.53_609.3250m/z</t>
  </si>
  <si>
    <t xml:space="preserve">Aspacoside C</t>
  </si>
  <si>
    <t xml:space="preserve">LMST02030246</t>
  </si>
  <si>
    <t xml:space="preserve">[C@]12(CC[C@]3([H])C[C@@H](O[C@H]4[C@H](O)[C@@H](O)[C@H](O[C@H]5OC[C@@H](O)[C@@H](O)[C@@H]5O)[C@@H](CO)O4)CC[C@]3(C)[C@@]1([H])CC[C@]1(C)C(C(=O)C)=CC[C@@]21[H])[H]</t>
  </si>
  <si>
    <t xml:space="preserve">JOBHPQGGRHLPEW-HSKWOOTGSA-N</t>
  </si>
  <si>
    <t xml:space="preserve">C32H50O11</t>
  </si>
  <si>
    <t xml:space="preserve">4.69_394.1973m/z</t>
  </si>
  <si>
    <t xml:space="preserve">Asp Leu Phe</t>
  </si>
  <si>
    <t xml:space="preserve">CC(C)CC(C(=O)NC(CC1=CC=CC=C1)C(=O)O)NC(=O)C(CC(=O)O)N</t>
  </si>
  <si>
    <t xml:space="preserve">HKEZZWQWXWGASX-KKUMJFAQSA-N</t>
  </si>
  <si>
    <t xml:space="preserve">C19H27N3O6</t>
  </si>
  <si>
    <t xml:space="preserve">1.05_175.1080m/z</t>
  </si>
  <si>
    <t xml:space="preserve">L-Theanine</t>
  </si>
  <si>
    <t xml:space="preserve">HMDB0034365</t>
  </si>
  <si>
    <t xml:space="preserve">C01047</t>
  </si>
  <si>
    <t xml:space="preserve">3081-61-6</t>
  </si>
  <si>
    <t xml:space="preserve">CCNC(=O)CC[C@H](N)C(O)=O</t>
  </si>
  <si>
    <t xml:space="preserve">DATAGRPVKZEWHA-YFKPBYRVSA-N</t>
  </si>
  <si>
    <t xml:space="preserve">C7H14N2O3</t>
  </si>
  <si>
    <t xml:space="preserve">3.97_357.2135m/z</t>
  </si>
  <si>
    <t xml:space="preserve">Gln Pro Leu</t>
  </si>
  <si>
    <t xml:space="preserve">CC(C)CC(C(=O)O)NC(=O)C1CCCN1C(=O)C(CCC(=O)N)N</t>
  </si>
  <si>
    <t xml:space="preserve">XQDGOJPVMSWZSO-SRVKXCTJSA-N</t>
  </si>
  <si>
    <t xml:space="preserve">C16H28N4O5</t>
  </si>
  <si>
    <t xml:space="preserve">1.63_237.0888m/z</t>
  </si>
  <si>
    <t xml:space="preserve">3-Hydroxy-11-Norcytisine</t>
  </si>
  <si>
    <t xml:space="preserve">HMDB0245883</t>
  </si>
  <si>
    <t xml:space="preserve">OC1=CC=C2C3CC(CN3)CN2C1=O</t>
  </si>
  <si>
    <t xml:space="preserve">AFTDVOKQJZAVLI-UHFFFAOYSA-N</t>
  </si>
  <si>
    <t xml:space="preserve">Pyridodiazepines</t>
  </si>
  <si>
    <t xml:space="preserve">C10H12N2O2</t>
  </si>
  <si>
    <t xml:space="preserve">2.06_233.1497m/z</t>
  </si>
  <si>
    <t xml:space="preserve">6-Hydroxyoct-6-Enoylglycine</t>
  </si>
  <si>
    <t xml:space="preserve">HMDB0094771</t>
  </si>
  <si>
    <t xml:space="preserve">CC=C(O)CCCCC(O)=NCC(O)=O</t>
  </si>
  <si>
    <t xml:space="preserve">SPLMGKCLQFSYBB-UHFFFAOYSA-N</t>
  </si>
  <si>
    <t xml:space="preserve">C10H17NO4</t>
  </si>
  <si>
    <t xml:space="preserve">3.49_227.1396m/z</t>
  </si>
  <si>
    <t xml:space="preserve">Isoleucylproline</t>
  </si>
  <si>
    <t xml:space="preserve">HMDB0011174</t>
  </si>
  <si>
    <t xml:space="preserve">37462-92-3</t>
  </si>
  <si>
    <t xml:space="preserve">CC[C@H](C)[C@H](N)C(=O)N1CCC[C@H]1C(O)=O</t>
  </si>
  <si>
    <t xml:space="preserve">BBIXOODYWPFNDT-CIUDSAMLSA-N</t>
  </si>
  <si>
    <t xml:space="preserve">3.81_358.1984m/z</t>
  </si>
  <si>
    <t xml:space="preserve">Val Pro Val</t>
  </si>
  <si>
    <t xml:space="preserve">CC(C)C(C(=O)N1CCCC1C(=O)NC(C(C)C)C(=O)O)N</t>
  </si>
  <si>
    <t xml:space="preserve">QSPOLEBZTMESFY-SRVKXCTJSA-N</t>
  </si>
  <si>
    <t xml:space="preserve">1.33_219.0802m/z</t>
  </si>
  <si>
    <t xml:space="preserve">Alanylmethionine</t>
  </si>
  <si>
    <t xml:space="preserve">HMDB0028693</t>
  </si>
  <si>
    <t xml:space="preserve">14486-05-6</t>
  </si>
  <si>
    <t xml:space="preserve">CSCC[C@H](NC(=O)[C@H](C)N)C(O)=O</t>
  </si>
  <si>
    <t xml:space="preserve">FSHURBQASBLAPO-WDSKDSINSA-N</t>
  </si>
  <si>
    <t xml:space="preserve">C8H16N2O3S</t>
  </si>
  <si>
    <t xml:space="preserve">0.76_275.1025m/z</t>
  </si>
  <si>
    <t xml:space="preserve">1,3,5-Trihydroxy-10-Methylacridone</t>
  </si>
  <si>
    <t xml:space="preserve">HMDB0041468</t>
  </si>
  <si>
    <t xml:space="preserve">CN1C2=C(C(O)=CC(O)=C2)C(=O)C2=C1C(O)=CC=C2</t>
  </si>
  <si>
    <t xml:space="preserve">SGESJKUDNYVWMW-UHFFFAOYSA-N</t>
  </si>
  <si>
    <t xml:space="preserve">C14H11NO4</t>
  </si>
  <si>
    <t xml:space="preserve">1.33_653.0648m/z</t>
  </si>
  <si>
    <t xml:space="preserve">C.i. Food Brown 3</t>
  </si>
  <si>
    <t xml:space="preserve">HMDB0037512</t>
  </si>
  <si>
    <t xml:space="preserve">4553-89-3</t>
  </si>
  <si>
    <t xml:space="preserve">OCC1=CC(\N=N\C2=CC=C(C3=CC=CC=C23)S(O)(=O)=O)=C(O)C(\N=N\C2=CC=C(C3=CC=CC=C23)S(O)(=O)=O)=C1O</t>
  </si>
  <si>
    <t xml:space="preserve">ZMJZWRQKSFYRJU-FUEWEDNTSA-N</t>
  </si>
  <si>
    <t xml:space="preserve">Naphthalene sulfonic acids and derivatives</t>
  </si>
  <si>
    <t xml:space="preserve">C27H20N4O9S2</t>
  </si>
  <si>
    <t xml:space="preserve">3.58_387.1887m/z</t>
  </si>
  <si>
    <t xml:space="preserve">17-Dimethylarsinoyl-9z-Heptadecenoic Acid</t>
  </si>
  <si>
    <t xml:space="preserve">LMFA00000031</t>
  </si>
  <si>
    <t xml:space="preserve">C(CCCCCC/C=C\CCCCCCCC(=O)O)[As](C)(=O)C</t>
  </si>
  <si>
    <t xml:space="preserve">QLUKWCNWKNZIQN-ARJAWSKDSA-N</t>
  </si>
  <si>
    <t xml:space="preserve">C19H37AsO3</t>
  </si>
  <si>
    <t xml:space="preserve">2.55_433.1934m/z</t>
  </si>
  <si>
    <t xml:space="preserve">Dapt</t>
  </si>
  <si>
    <t xml:space="preserve">HMDB0250864</t>
  </si>
  <si>
    <t xml:space="preserve">CC(NC(=O)CC1=CC(F)=CC(F)=C1)C(=O)NC(C(=O)OC(C)(C)C)C1=CC=CC=C1</t>
  </si>
  <si>
    <t xml:space="preserve">DWJXYEABWRJFSP-UHFFFAOYSA-N</t>
  </si>
  <si>
    <t xml:space="preserve">C23H26F2N2O4</t>
  </si>
  <si>
    <t xml:space="preserve">3.64_159.0919m/z</t>
  </si>
  <si>
    <t xml:space="preserve">Nicotyrine</t>
  </si>
  <si>
    <t xml:space="preserve">HMDB0255591</t>
  </si>
  <si>
    <t xml:space="preserve">C10161</t>
  </si>
  <si>
    <t xml:space="preserve">487-19-4</t>
  </si>
  <si>
    <t xml:space="preserve">CN1C=CC=C1C1=CN=CC=C1</t>
  </si>
  <si>
    <t xml:space="preserve">RYFOJXFXERAMLS-UHFFFAOYSA-N</t>
  </si>
  <si>
    <t xml:space="preserve">C10H10N2</t>
  </si>
  <si>
    <t xml:space="preserve">8.65_496.2832m/z</t>
  </si>
  <si>
    <t xml:space="preserve">PC(18:4(6Z,9Z,12Z,15Z)/0:0)</t>
  </si>
  <si>
    <t xml:space="preserve">HMDB0010389</t>
  </si>
  <si>
    <t xml:space="preserve">LMGP01050129</t>
  </si>
  <si>
    <t xml:space="preserve">[C@](COP(=O)([O-])OCC[N+](C)(C)C)([H])(O)COC(CCCC/C=C\C/C=C\C/C=C\C/C=C\CC)=O</t>
  </si>
  <si>
    <t xml:space="preserve">RVSJNDKZLRQIIG-VDNIJTNNSA-N</t>
  </si>
  <si>
    <t xml:space="preserve">C26H46NO7P</t>
  </si>
  <si>
    <t xml:space="preserve">3.52_373.1729m/z</t>
  </si>
  <si>
    <t xml:space="preserve">Asn Glu Leu</t>
  </si>
  <si>
    <t xml:space="preserve">CC(C)CC(C(=O)O)NC(=O)C(CCC(=O)O)NC(=O)C(CC(=O)N)N</t>
  </si>
  <si>
    <t xml:space="preserve">JREOBWLIZLXRIS-GUBZILKMSA-N</t>
  </si>
  <si>
    <t xml:space="preserve">1.56_403.1833m/z</t>
  </si>
  <si>
    <t xml:space="preserve">Serylproline</t>
  </si>
  <si>
    <t xml:space="preserve">HMDB0029047</t>
  </si>
  <si>
    <t xml:space="preserve">23827-93-2</t>
  </si>
  <si>
    <t xml:space="preserve">N[C@@H](CO)C(=O)N1CCC[C@H]1C(O)=O</t>
  </si>
  <si>
    <t xml:space="preserve">WBAXJMCUFIXCNI-WDSKDSINSA-N</t>
  </si>
  <si>
    <t xml:space="preserve">C8H14N2O4</t>
  </si>
  <si>
    <t xml:space="preserve">4.43_331.2109n</t>
  </si>
  <si>
    <t xml:space="preserve">Ser Leu Ile</t>
  </si>
  <si>
    <t xml:space="preserve">CCC(C)C(C(=O)O)NC(=O)C(CC(C)C)NC(=O)C(CO)N</t>
  </si>
  <si>
    <t xml:space="preserve">HEUVHBXOVZONPU-BJDJZHNGSA-N</t>
  </si>
  <si>
    <t xml:space="preserve">6.95_647.2401m/z</t>
  </si>
  <si>
    <t xml:space="preserve">Bis(5-Hydroxynoracronycine)</t>
  </si>
  <si>
    <t xml:space="preserve">HMDB0032114</t>
  </si>
  <si>
    <t xml:space="preserve">CN1C2=C(C=CC=C2O)C(=O)C2=C1C1=C(OC(C)(C)C=C1)C(C1CC(C)(C)OC3=C1C1=C(C(O)=C3)C(=O)C3=C(N1C)C(O)=CC=C3)=C2O</t>
  </si>
  <si>
    <t xml:space="preserve">PIZIMOGOEZLCMG-UHFFFAOYSA-N</t>
  </si>
  <si>
    <t xml:space="preserve">Neoflavonoids</t>
  </si>
  <si>
    <t xml:space="preserve">Prenylated neoflavonoids</t>
  </si>
  <si>
    <t xml:space="preserve">C38H34N2O8</t>
  </si>
  <si>
    <t xml:space="preserve">0.72_219.0978m/z</t>
  </si>
  <si>
    <t xml:space="preserve">N-Acetyl-B-Glucosaminylamine</t>
  </si>
  <si>
    <t xml:space="preserve">HMDB0001104</t>
  </si>
  <si>
    <t xml:space="preserve">C01239</t>
  </si>
  <si>
    <t xml:space="preserve">CC(=O)N[C@H]1[C@H](N)O[C@H](CO)[C@@H](O)[C@@H]1O</t>
  </si>
  <si>
    <t xml:space="preserve">MCGXOCXFFNKASF-FMDGEEDCSA-N</t>
  </si>
  <si>
    <t xml:space="preserve">C8H16N2O5</t>
  </si>
  <si>
    <t xml:space="preserve">14.83_670.4398m/z</t>
  </si>
  <si>
    <t xml:space="preserve">PE(14:1(9Z)/15:0)</t>
  </si>
  <si>
    <t xml:space="preserve">HMDB0008856</t>
  </si>
  <si>
    <t xml:space="preserve">LMGP02010425</t>
  </si>
  <si>
    <t xml:space="preserve">C00350</t>
  </si>
  <si>
    <t xml:space="preserve">hame00563,hame00564,hame04136,hame04140</t>
  </si>
  <si>
    <t xml:space="preserve">Glycosylphosphatidylinositol (GPI)-anchor biosynthesis|Glycerophospholipid metabolism|Autophagy - other|Autophagy - animal</t>
  </si>
  <si>
    <t xml:space="preserve">[C@](COP(=O)(O)OCCN)([H])(OC(CCCCCCCCCCCCCC)=O)COC(CCCCCCC/C=C\CCCC)=O</t>
  </si>
  <si>
    <t xml:space="preserve">SUOCBQJZTPKWHX-PGKKXZESSA-N</t>
  </si>
  <si>
    <t xml:space="preserve">C34H66NO8P</t>
  </si>
  <si>
    <t xml:space="preserve">3.64_358.1973m/z</t>
  </si>
  <si>
    <t xml:space="preserve">1-[6-(2-Carboxypyrrolidin-1-Yl)-6-Oxohexanoyl]Pyrrolidine-2-Carboxylic Acid</t>
  </si>
  <si>
    <t xml:space="preserve">HMDB0257669</t>
  </si>
  <si>
    <t xml:space="preserve">OC(=O)C1CCCN1C(=O)CCCCC(=O)N1CCCC1C(O)=O</t>
  </si>
  <si>
    <t xml:space="preserve">HZLAWYIBLZNRFZ-UHFFFAOYSA-N</t>
  </si>
  <si>
    <t xml:space="preserve">C16H24N2O6</t>
  </si>
  <si>
    <t xml:space="preserve">1.87_330.1662m/z</t>
  </si>
  <si>
    <t xml:space="preserve">Ile Ser Glu</t>
  </si>
  <si>
    <t xml:space="preserve">CCC(C)C(C(=O)NC(CO)C(=O)NC(CCC(=O)O)C(=O)O)N</t>
  </si>
  <si>
    <t xml:space="preserve">ZNOBVZFCHNHKHA-KBIXCLLPSA-N</t>
  </si>
  <si>
    <t xml:space="preserve">5.10_859.4783m/z</t>
  </si>
  <si>
    <t xml:space="preserve">PGP(16:0/18:1(12Z)-2OH(9,10))</t>
  </si>
  <si>
    <t xml:space="preserve">HMDB0272346</t>
  </si>
  <si>
    <t xml:space="preserve">[H][C@](O)(COP(O)(O)=O)COP(O)(=O)OC[C@@]([H])(COC(=O)CCCCCCCCCCCCCCC)OC(=O)CCCCCCC[C@H](O)[C@@H](O)C\C=C/CCCCC</t>
  </si>
  <si>
    <t xml:space="preserve">WUWZRAIXYRLNMP-AIOBWBRQSA-N</t>
  </si>
  <si>
    <t xml:space="preserve">C40H78O15P2</t>
  </si>
  <si>
    <t xml:space="preserve">8.06_635.3393m/z</t>
  </si>
  <si>
    <t xml:space="preserve">Bastaxanthin C2</t>
  </si>
  <si>
    <t xml:space="preserve">LMPR01071027</t>
  </si>
  <si>
    <t xml:space="preserve">[C@@]1(C)(C[C@@H](O)CC1(C)C)C(=O)/C(/C)=C/C=C/C(/C)=C/C=C/C=C(\C)/C=C/C=C(\CO)/C#CC1C(C)(C)C[C@H](OS(O)(=O)=O)CC=1C</t>
  </si>
  <si>
    <t xml:space="preserve">ISUWWMWGOAXMCS-VMPJPWPLSA-N</t>
  </si>
  <si>
    <t xml:space="preserve">C38H52O7S</t>
  </si>
  <si>
    <t xml:space="preserve">6.88_387.1944m/z</t>
  </si>
  <si>
    <t xml:space="preserve">17,20,21-Trihydroxypregn-4-En-3-One</t>
  </si>
  <si>
    <t xml:space="preserve">HMDB0246985</t>
  </si>
  <si>
    <t xml:space="preserve">CC12CCC3C(CCC4=CC(=O)CCC34C)C1CCC2(O)C(O)CO</t>
  </si>
  <si>
    <t xml:space="preserve">XNFSGLNHLVHCFT-UHFFFAOYSA-N</t>
  </si>
  <si>
    <t xml:space="preserve">Hydroxysteroids</t>
  </si>
  <si>
    <t xml:space="preserve">C21H32O4</t>
  </si>
  <si>
    <t xml:space="preserve">3.86_300.1921m/z</t>
  </si>
  <si>
    <t xml:space="preserve">Pro Ala Leu</t>
  </si>
  <si>
    <t xml:space="preserve">CC(C)CC(C(=O)O)NC(=O)C(C)NC(=O)C1CCCN1</t>
  </si>
  <si>
    <t xml:space="preserve">IFMDQWDAJUMMJC-DCAQKATOSA-N</t>
  </si>
  <si>
    <t xml:space="preserve">C14H25N3O4</t>
  </si>
  <si>
    <t xml:space="preserve">0.78_347.1560m/z</t>
  </si>
  <si>
    <t xml:space="preserve">Asn Val Asp</t>
  </si>
  <si>
    <t xml:space="preserve">CC(C)C(C(=O)NC(CC(=O)O)C(=O)O)NC(=O)C(CC(=O)N)N</t>
  </si>
  <si>
    <t xml:space="preserve">JZLFYAAGGYMRIK-BYULHYEWSA-N</t>
  </si>
  <si>
    <t xml:space="preserve">C13H22N4O7</t>
  </si>
  <si>
    <t xml:space="preserve">4.65_313.1546m/z</t>
  </si>
  <si>
    <t xml:space="preserve">Phenylalanylphenylalanine</t>
  </si>
  <si>
    <t xml:space="preserve">HMDB0013302</t>
  </si>
  <si>
    <t xml:space="preserve">2577-40-4</t>
  </si>
  <si>
    <t xml:space="preserve">N[C@@H](CC1=CC=CC=C1)C(=O)N[C@@H](CC1=CC=CC=C1)C(O)=O</t>
  </si>
  <si>
    <t xml:space="preserve">GKZIWHRNKRBEOH-HOTGVXAUSA-N</t>
  </si>
  <si>
    <t xml:space="preserve">C18H20N2O3</t>
  </si>
  <si>
    <t xml:space="preserve">1.06_288.1200m/z</t>
  </si>
  <si>
    <t xml:space="preserve">Prolyl-Gamma-Glutamate</t>
  </si>
  <si>
    <t xml:space="preserve">HMDB0029031</t>
  </si>
  <si>
    <t xml:space="preserve">NC(CCC(=O)NC(=O)C1CCCN1)C(O)=O</t>
  </si>
  <si>
    <t xml:space="preserve">FSGFZJVYAZKWHO-UHFFFAOYSA-N</t>
  </si>
  <si>
    <t xml:space="preserve">C10H17N3O4</t>
  </si>
  <si>
    <t xml:space="preserve">3.89_316.1872m/z</t>
  </si>
  <si>
    <t xml:space="preserve">Pro Ser Ile</t>
  </si>
  <si>
    <t xml:space="preserve">CCC(C)C(C(=O)O)NC(=O)C(CO)NC(=O)C1CCCN1</t>
  </si>
  <si>
    <t xml:space="preserve">ITUDDXVFGFEKPD-NAKRPEOUSA-N</t>
  </si>
  <si>
    <t xml:space="preserve">C14H25N3O5</t>
  </si>
  <si>
    <t xml:space="preserve">3.64_144.0810m/z</t>
  </si>
  <si>
    <t xml:space="preserve">Quinaldine</t>
  </si>
  <si>
    <t xml:space="preserve">HMDB0042004</t>
  </si>
  <si>
    <t xml:space="preserve">91-63-4</t>
  </si>
  <si>
    <t xml:space="preserve">CC1=NC2=CC=CC=C2C=C1</t>
  </si>
  <si>
    <t xml:space="preserve">SMUQFGGVLNAIOZ-UHFFFAOYSA-N</t>
  </si>
  <si>
    <t xml:space="preserve">C10H9N</t>
  </si>
  <si>
    <t xml:space="preserve">1.28_625.1236m/z</t>
  </si>
  <si>
    <t xml:space="preserve">Triazophos</t>
  </si>
  <si>
    <t xml:space="preserve">HMDB0259159</t>
  </si>
  <si>
    <t xml:space="preserve">C18657</t>
  </si>
  <si>
    <t xml:space="preserve">24017-47-8</t>
  </si>
  <si>
    <t xml:space="preserve">CCOP(=S)(OCC)OC1=NN(C=N1)C1=CC=CC=C1</t>
  </si>
  <si>
    <t xml:space="preserve">AMFGTOFWMRQMEM-UHFFFAOYSA-N</t>
  </si>
  <si>
    <t xml:space="preserve">Azoles</t>
  </si>
  <si>
    <t xml:space="preserve">Triazoles</t>
  </si>
  <si>
    <t xml:space="preserve">C12H16N3O3PS</t>
  </si>
  <si>
    <t xml:space="preserve">2.98_330.1670m/z</t>
  </si>
  <si>
    <t xml:space="preserve">Pro Ala Val</t>
  </si>
  <si>
    <t xml:space="preserve">CC(C)C(C(=O)O)NC(=O)C(C)NC(=O)C1CCCN1</t>
  </si>
  <si>
    <t xml:space="preserve">OOLOTUZJUBOMAX-GUBZILKMSA-N</t>
  </si>
  <si>
    <t xml:space="preserve">4.04_286.1772m/z</t>
  </si>
  <si>
    <t xml:space="preserve">Leu Gly Val</t>
  </si>
  <si>
    <t xml:space="preserve">CC(C)CC(C(=O)NCC(=O)NC(C(C)C)C(=O)O)N</t>
  </si>
  <si>
    <t xml:space="preserve">POZULHZYLPGXMR-ONGXEEELSA-N</t>
  </si>
  <si>
    <t xml:space="preserve">0.75_269.1607m/z</t>
  </si>
  <si>
    <t xml:space="preserve">Isoleucyl-Histidine</t>
  </si>
  <si>
    <t xml:space="preserve">HMDB0028909</t>
  </si>
  <si>
    <t xml:space="preserve">CCC(C)C(N)C(=O)NC(CC1=CN=CN1)C(O)=O</t>
  </si>
  <si>
    <t xml:space="preserve">QNBYCZTZNOVDMI-UHFFFAOYSA-N</t>
  </si>
  <si>
    <t xml:space="preserve">C12H20N4O3</t>
  </si>
  <si>
    <t xml:space="preserve">8.97_293.1760m/z</t>
  </si>
  <si>
    <t xml:space="preserve">(6z,10e)-Hexadec-6,10-Dien-8-Ynoic Acid</t>
  </si>
  <si>
    <t xml:space="preserve">LMFA01031150</t>
  </si>
  <si>
    <t xml:space="preserve">C(#C/C=C\CCCCC(=O)O)/C=C/CCCCC</t>
  </si>
  <si>
    <t xml:space="preserve">AJOUVFQEKMCFLL-WFKFFMJQSA-N</t>
  </si>
  <si>
    <t xml:space="preserve">C16H24O2</t>
  </si>
  <si>
    <t xml:space="preserve">2.53_211.0848n</t>
  </si>
  <si>
    <t xml:space="preserve">Methyldopa</t>
  </si>
  <si>
    <t xml:space="preserve">HMDB0011754</t>
  </si>
  <si>
    <t xml:space="preserve">C07194</t>
  </si>
  <si>
    <t xml:space="preserve">555-30-6</t>
  </si>
  <si>
    <t xml:space="preserve">C[C@](N)(CC1=CC=C(O)C(O)=C1)C(O)=O</t>
  </si>
  <si>
    <t xml:space="preserve">CJCSPKMFHVPWAR-JTQLQIEISA-N</t>
  </si>
  <si>
    <t xml:space="preserve">Phenylpropanoic acids</t>
  </si>
  <si>
    <t xml:space="preserve">C10H13NO4</t>
  </si>
  <si>
    <t xml:space="preserve">2.35_334.1974m/z</t>
  </si>
  <si>
    <t xml:space="preserve">Thr Ile Thr</t>
  </si>
  <si>
    <t xml:space="preserve">CCC(C)C(C(=O)NC(C(C)O)C(=O)O)NC(=O)C(C(C)O)N</t>
  </si>
  <si>
    <t xml:space="preserve">GXUWHVZYDAHFSV-FLBSBUHZSA-N</t>
  </si>
  <si>
    <t xml:space="preserve">C14H27N3O6</t>
  </si>
  <si>
    <t xml:space="preserve">4.02_267.1820n</t>
  </si>
  <si>
    <t xml:space="preserve">Metoprolol</t>
  </si>
  <si>
    <t xml:space="preserve">HMDB0001932</t>
  </si>
  <si>
    <t xml:space="preserve">C07202</t>
  </si>
  <si>
    <t xml:space="preserve">37350-58-6</t>
  </si>
  <si>
    <t xml:space="preserve">COCCC1=CC=C(OCC(O)CNC(C)C)C=C1</t>
  </si>
  <si>
    <t xml:space="preserve">IUBSYMUCCVWXPE-UHFFFAOYSA-N</t>
  </si>
  <si>
    <t xml:space="preserve">Tyrosols and derivatives</t>
  </si>
  <si>
    <t xml:space="preserve">M+H-H2O, M+K</t>
  </si>
  <si>
    <t xml:space="preserve">C15H25NO3</t>
  </si>
  <si>
    <t xml:space="preserve">3.86_417.2710m/z</t>
  </si>
  <si>
    <t xml:space="preserve">Phenylalanyl-Prolyl-Arginine Nitrile</t>
  </si>
  <si>
    <t xml:space="preserve">HMDB0256435</t>
  </si>
  <si>
    <t xml:space="preserve">NC(CC1=CC=CC=C1)C(=O)NC(=O)C1CCCN1C(CCCN=C(N)N)C#N</t>
  </si>
  <si>
    <t xml:space="preserve">KIJDUGBFUBCRNM-UHFFFAOYSA-N</t>
  </si>
  <si>
    <t xml:space="preserve">C20H29N7O2</t>
  </si>
  <si>
    <t xml:space="preserve">6.33_400.1405m/z</t>
  </si>
  <si>
    <t xml:space="preserve">Romucosine C</t>
  </si>
  <si>
    <t xml:space="preserve">HMDB0036764</t>
  </si>
  <si>
    <t xml:space="preserve">C17488</t>
  </si>
  <si>
    <t xml:space="preserve">356048-25-4</t>
  </si>
  <si>
    <t xml:space="preserve">COC(=O)N1CCC2=C3C1CC1=CC=C(O)C=C1C3=C(OC)C(OC)=C2</t>
  </si>
  <si>
    <t xml:space="preserve">ILKYEDYPZACASH-UHFFFAOYSA-N</t>
  </si>
  <si>
    <t xml:space="preserve">4.00_342.1670m/z</t>
  </si>
  <si>
    <t xml:space="preserve">Pro Asp Ile</t>
  </si>
  <si>
    <t xml:space="preserve">CCC(C)C(C(=O)O)NC(=O)C(CC(=O)O)NC(=O)C1CCCN1</t>
  </si>
  <si>
    <t xml:space="preserve">GDXZRWYXJSGWIV-GMOBBJLQSA-N</t>
  </si>
  <si>
    <t xml:space="preserve">3.64_429.1542m/z</t>
  </si>
  <si>
    <t xml:space="preserve">Kinetin</t>
  </si>
  <si>
    <t xml:space="preserve">HMDB0012245</t>
  </si>
  <si>
    <t xml:space="preserve">C08272</t>
  </si>
  <si>
    <t xml:space="preserve">525-79-1</t>
  </si>
  <si>
    <t xml:space="preserve">C(NC1=NC=NC2=C1NC=N2)C1=CC=CO1</t>
  </si>
  <si>
    <t xml:space="preserve">QANMHLXAZMSUEX-UHFFFAOYSA-N</t>
  </si>
  <si>
    <t xml:space="preserve">C10H9N5O</t>
  </si>
  <si>
    <t xml:space="preserve">0.59_114.1159n</t>
  </si>
  <si>
    <t xml:space="preserve">(1s,2s)-(+)-1,2-Diaminocyclohexane</t>
  </si>
  <si>
    <t xml:space="preserve">HMDB0243564</t>
  </si>
  <si>
    <t xml:space="preserve">NC1CCCCC1N</t>
  </si>
  <si>
    <t xml:space="preserve">SSJXIUAHEKJCMH-UHFFFAOYSA-N</t>
  </si>
  <si>
    <t xml:space="preserve">Cyclohexylamines</t>
  </si>
  <si>
    <t xml:space="preserve">C6H14N2</t>
  </si>
  <si>
    <t xml:space="preserve">0.77_332.1099m/z</t>
  </si>
  <si>
    <t xml:space="preserve">N-Ribosylhistidine</t>
  </si>
  <si>
    <t xml:space="preserve">HMDB0002089</t>
  </si>
  <si>
    <t xml:space="preserve">98379-91-0</t>
  </si>
  <si>
    <t xml:space="preserve">N[C@@H](CC1=CN(C=N1)[C@@H]1O[C@H](CO)[C@@H](O)[C@H]1O)C(O)=O</t>
  </si>
  <si>
    <t xml:space="preserve">TTYCFBAOLXCFAB-VAPHQMJDSA-N</t>
  </si>
  <si>
    <t xml:space="preserve">C11H17N3O6</t>
  </si>
  <si>
    <t xml:space="preserve">2.53_274.1763m/z</t>
  </si>
  <si>
    <t xml:space="preserve">Delta-Hydroxylysylnorleucine</t>
  </si>
  <si>
    <t xml:space="preserve">HMDB0253190</t>
  </si>
  <si>
    <t xml:space="preserve">NC(CCCCNCC(O)CCC(N)C(O)=O)C(O)=O</t>
  </si>
  <si>
    <t xml:space="preserve">SWTKBYSXMULFHZ-UHFFFAOYSA-N</t>
  </si>
  <si>
    <t xml:space="preserve">C12H25N3O5</t>
  </si>
  <si>
    <t xml:space="preserve">1.05_326.1824m/z</t>
  </si>
  <si>
    <t xml:space="preserve">Vildagliptin</t>
  </si>
  <si>
    <t xml:space="preserve">HMDB0015596</t>
  </si>
  <si>
    <t xml:space="preserve">274901-16-5</t>
  </si>
  <si>
    <t xml:space="preserve">OC12CC3CC(C1)CC(C3)(C2)NCC(=O)N1CCC[C@H]1C#N</t>
  </si>
  <si>
    <t xml:space="preserve">SYOKIDBDQMKNDQ-XWTIBIIYSA-N</t>
  </si>
  <si>
    <t xml:space="preserve">C17H25N3O2</t>
  </si>
  <si>
    <t xml:space="preserve">13.80_798.5068m/z</t>
  </si>
  <si>
    <t xml:space="preserve">PE-NMe(18:4(6Z,9Z,12Z,15Z)/22:6(4Z,7Z,10Z,13Z,16Z,19Z))</t>
  </si>
  <si>
    <t xml:space="preserve">HMDB0113276</t>
  </si>
  <si>
    <t xml:space="preserve">[H]C(COC(=O)CCCC\C=C/C\C=C/C\C=C/C\C=C/CC)(COP(O)(=O)OCCNC)OC(=O)CC\C=C/C\C=C/C\C=C/C\C=C/C\C=C/C\C=C/CC</t>
  </si>
  <si>
    <t xml:space="preserve">OUQSCBBJXUESEA-AXISJGCDSA-N</t>
  </si>
  <si>
    <t xml:space="preserve">C46H72NO8P</t>
  </si>
  <si>
    <t xml:space="preserve">1.06_346.1255m/z</t>
  </si>
  <si>
    <t xml:space="preserve">Glycyl-Prolyl-Glutamic Acid</t>
  </si>
  <si>
    <t xml:space="preserve">HMDB0252832</t>
  </si>
  <si>
    <t xml:space="preserve">NCC(=O)N1CCCC1C(=O)NC(CCC(O)=O)C(O)=O</t>
  </si>
  <si>
    <t xml:space="preserve">JJGBXTYGTKWGAT-UHFFFAOYSA-N</t>
  </si>
  <si>
    <t xml:space="preserve">C12H19N3O6</t>
  </si>
  <si>
    <t xml:space="preserve">0.76_306.1296m/z</t>
  </si>
  <si>
    <t xml:space="preserve">Glu Thr Gly</t>
  </si>
  <si>
    <t xml:space="preserve">CC(C(C(=O)NCC(=O)O)NC(=O)C(CCC(=O)O)N)O</t>
  </si>
  <si>
    <t xml:space="preserve">GPSHCSTUYOQPAI-JHEQGTHGSA-N</t>
  </si>
  <si>
    <t xml:space="preserve">C11H19N3O7</t>
  </si>
  <si>
    <t xml:space="preserve">1.05_186.1006n</t>
  </si>
  <si>
    <t xml:space="preserve">Alanylproline</t>
  </si>
  <si>
    <t xml:space="preserve">HMDB0028695</t>
  </si>
  <si>
    <t xml:space="preserve">13485-59-1</t>
  </si>
  <si>
    <t xml:space="preserve">C[C@H](N)C(=O)N1CCC[C@H]1C(O)=O</t>
  </si>
  <si>
    <t xml:space="preserve">WPWUFUBLGADILS-WDSKDSINSA-N</t>
  </si>
  <si>
    <t xml:space="preserve">3.75_294.1219n</t>
  </si>
  <si>
    <t xml:space="preserve">Glu Phe</t>
  </si>
  <si>
    <t xml:space="preserve">C1=CC=C(C=C1)CC(C(=O)O)NC(=O)C(CCC(=O)O)N</t>
  </si>
  <si>
    <t xml:space="preserve">XMBSYZWANAQXEV-UHFFFAOYSA-N</t>
  </si>
  <si>
    <t xml:space="preserve">C14H18N2O5</t>
  </si>
  <si>
    <t xml:space="preserve">7.54_692.2750n</t>
  </si>
  <si>
    <t xml:space="preserve">Starch, Pregelatinized</t>
  </si>
  <si>
    <t xml:space="preserve">HMDB0303308</t>
  </si>
  <si>
    <t xml:space="preserve">COC1C(O)C(O)C(OCC2OC(OC3C(O)C(O)C(C)OC3CO)C(O)C(O)C2OC2OC(CO)C(OC)C(O)C2O)OC1CO</t>
  </si>
  <si>
    <t xml:space="preserve">YJISHJVIRFPGGN-UHFFFAOYSA-N</t>
  </si>
  <si>
    <t xml:space="preserve">C27H48O20</t>
  </si>
  <si>
    <t xml:space="preserve">8.63_913.5874m/z</t>
  </si>
  <si>
    <t xml:space="preserve">DGDG(16:0/18:3(9Z,12Z,15Z))</t>
  </si>
  <si>
    <t xml:space="preserve">LMGL05010064</t>
  </si>
  <si>
    <t xml:space="preserve">O[C@@H]1[C@@H](O)[C@@H](O)[C@@H](CO[C@@H]2[C@H](O)[C@@H](O)[C@@H](O)[C@@H](CO)O2)O[C@H]1OC[C@]([H])(OC(CCCCCCC/C=C\C/C=C\C/C=C\CC)=O)COC(=O)CCCCCCCCCCCCCCC</t>
  </si>
  <si>
    <t xml:space="preserve">WVWINZZVFAFVMJ-GDVDIDQFSA-N</t>
  </si>
  <si>
    <t xml:space="preserve">Glycerolipids</t>
  </si>
  <si>
    <t xml:space="preserve">Glycosylglycerols</t>
  </si>
  <si>
    <t xml:space="preserve">C49H86O15</t>
  </si>
  <si>
    <t xml:space="preserve">3.78_283.1270m/z</t>
  </si>
  <si>
    <t xml:space="preserve">Tyr Thr</t>
  </si>
  <si>
    <t xml:space="preserve">CC(C(C(=O)O)NC(=O)C(CC1=CC=C(C=C1)O)N)O</t>
  </si>
  <si>
    <t xml:space="preserve">MFEVVAXTBZELLL-SWPVVBRQSA-N</t>
  </si>
  <si>
    <t xml:space="preserve">C13H18N2O5</t>
  </si>
  <si>
    <t xml:space="preserve">3.83_472.2414m/z</t>
  </si>
  <si>
    <t xml:space="preserve">Valyl-Prolyl-Glycyl-Valyl-Glycine</t>
  </si>
  <si>
    <t xml:space="preserve">HMDB0259877</t>
  </si>
  <si>
    <t xml:space="preserve">CC(C)C(N)C(=O)N1CCCC1C(=O)NCC(=O)NC(C(C)C)C(=O)NCC(O)=O</t>
  </si>
  <si>
    <t xml:space="preserve">LFTRJWKKLPVMNE-UHFFFAOYSA-N</t>
  </si>
  <si>
    <t xml:space="preserve">C19H33N5O6</t>
  </si>
  <si>
    <t xml:space="preserve">3.37_555.1245m/z</t>
  </si>
  <si>
    <t xml:space="preserve">Cefluprenam</t>
  </si>
  <si>
    <t xml:space="preserve">HMDB0249765</t>
  </si>
  <si>
    <t xml:space="preserve">CC[N+](C)(CC=CC1=C(N2C(SC1)C(NC(=O)C(=NOCF)C1=NSC(N)=N1)C2=O)C([O-])=O)CC(N)=O</t>
  </si>
  <si>
    <t xml:space="preserve">XAKKNLNAJBNLPC-UHFFFAOYSA-N</t>
  </si>
  <si>
    <t xml:space="preserve">Lactams</t>
  </si>
  <si>
    <t xml:space="preserve">Beta lactams</t>
  </si>
  <si>
    <t xml:space="preserve">C20H25FN8O6S2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</si>
</sst>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1"/>
      <color rgb="FF000000"/>
      <name val="Calibri"/>
      <family val="2"/>
      <scheme val="minor"/>
    </font>
    <font>
      <sz val="11"/>
      <color rgb="FF000000"/>
      <name val="Arial"/>
      <b/>
    </font>
    <font>
      <sz val="11"/>
      <color rgb="FF000000"/>
      <name val="Arial"/>
    </font>
    <font>
      <sz val="11"/>
      <color rgb="FF0000FF"/>
      <name val="Calibri"/>
      <u val="single"/>
    </font>
  </fonts>
  <fills count="4">
    <fill>
      <patternFill patternType="none"/>
    </fill>
    <fill>
      <patternFill patternType="gray125"/>
    </fill>
    <fill>
      <patternFill patternType="solid">
        <fgColor rgb="FF727FB5"/>
      </patternFill>
    </fill>
    <fill>
      <patternFill patternType="solid">
        <fgColor rgb="FFF47D8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2" borderId="0" xfId="0" applyFont="1" applyFill="1"/>
    <xf numFmtId="0" fontId="2" fillId="3" borderId="0" xfId="0" applyFont="1" applyFill="1"/>
    <xf numFmtId="0" fontId="3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7" max="7" width="45.71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</row>
    <row r="2">
      <c r="A2" s="2" t="s">
        <v>45</v>
      </c>
      <c r="B2" s="2" t="n">
        <v>336.14841053354</v>
      </c>
      <c r="C2" s="2" t="n">
        <v>6.1496</v>
      </c>
      <c r="D2" s="2" t="s">
        <v>46</v>
      </c>
      <c r="E2" s="2" t="s">
        <v>47</v>
      </c>
      <c r="F2" s="2" t="n">
        <v>209806</v>
      </c>
      <c r="G2" s="5" t="str">
        <f>HYPERLINK("http://funmeta.oebiotech.com/network/209806", "http://funmeta.oebiotech.com/network/209806")</f>
      </c>
      <c r="H2" s="2" t="s">
        <v>48</v>
      </c>
      <c r="I2" s="2"/>
      <c r="J2" s="2"/>
      <c r="K2" s="2"/>
      <c r="L2" s="2"/>
      <c r="M2" s="2"/>
      <c r="N2" s="2"/>
      <c r="O2" s="2" t="n">
        <v>44631938</v>
      </c>
      <c r="P2" s="2"/>
      <c r="Q2" s="2" t="s">
        <v>49</v>
      </c>
      <c r="R2" s="2" t="s">
        <v>50</v>
      </c>
      <c r="S2" s="2" t="s">
        <v>51</v>
      </c>
      <c r="T2" s="2" t="s">
        <v>52</v>
      </c>
      <c r="U2" s="2" t="s">
        <v>53</v>
      </c>
      <c r="V2" s="2" t="s">
        <v>54</v>
      </c>
      <c r="W2" s="2" t="n">
        <v>38.4</v>
      </c>
      <c r="X2" s="2" t="n">
        <v>0</v>
      </c>
      <c r="Y2" s="2" t="s">
        <v>55</v>
      </c>
      <c r="Z2" s="2" t="s">
        <v>56</v>
      </c>
      <c r="AA2" s="2" t="n">
        <v>-4.62405956989087</v>
      </c>
      <c r="AB2" s="2" t="n">
        <v>34.2960663031522</v>
      </c>
      <c r="AC2" s="2" t="n">
        <v>3221052.4084978</v>
      </c>
      <c r="AD2" s="2" t="n">
        <v>129794357.252539</v>
      </c>
      <c r="AE2" s="3" t="n">
        <v>0.0248165827596853</v>
      </c>
      <c r="AF2" s="3" t="n">
        <v>-5.33255171955515</v>
      </c>
      <c r="AG2" s="3" t="s">
        <v>57</v>
      </c>
      <c r="AH2" s="2" t="n">
        <v>0.000615216267721354</v>
      </c>
      <c r="AI2" s="2" t="n">
        <v>0.0047561574259197</v>
      </c>
      <c r="AJ2" s="2" t="n">
        <v>3071015.08341366</v>
      </c>
      <c r="AK2" s="2" t="n">
        <v>1834814.76905909</v>
      </c>
      <c r="AL2" s="2" t="n">
        <v>6342728.10684324</v>
      </c>
      <c r="AM2" s="2" t="n">
        <v>4474887.83390477</v>
      </c>
      <c r="AN2" s="2" t="n">
        <v>381816.249268234</v>
      </c>
      <c r="AO2" s="2" t="n">
        <v>117261895.604662</v>
      </c>
      <c r="AP2" s="2" t="n">
        <v>84732182.1008533</v>
      </c>
      <c r="AQ2" s="2" t="n">
        <v>218284486.028983</v>
      </c>
      <c r="AR2" s="2" t="n">
        <v>101970718.06623</v>
      </c>
      <c r="AS2" s="2" t="n">
        <v>126722504.461968</v>
      </c>
    </row>
    <row r="3">
      <c r="A3" s="2" t="s">
        <v>58</v>
      </c>
      <c r="B3" s="2" t="n">
        <v>118.086610681463</v>
      </c>
      <c r="C3" s="2" t="n">
        <v>0.7166</v>
      </c>
      <c r="D3" s="2" t="s">
        <v>59</v>
      </c>
      <c r="E3" s="2" t="s">
        <v>60</v>
      </c>
      <c r="F3" s="2" t="n">
        <v>517</v>
      </c>
      <c r="G3" s="5" t="str">
        <f>HYPERLINK("http://funmeta.oebiotech.com/network/517", "http://funmeta.oebiotech.com/network/517")</f>
      </c>
      <c r="H3" s="2" t="s">
        <v>61</v>
      </c>
      <c r="I3" s="2" t="n">
        <v>34698</v>
      </c>
      <c r="J3" s="2" t="s">
        <v>62</v>
      </c>
      <c r="K3" s="2" t="n">
        <v>35936</v>
      </c>
      <c r="L3" s="2"/>
      <c r="M3" s="2"/>
      <c r="N3" s="2"/>
      <c r="O3" s="2" t="n">
        <v>61138</v>
      </c>
      <c r="P3" s="2" t="s">
        <v>63</v>
      </c>
      <c r="Q3" s="2" t="s">
        <v>64</v>
      </c>
      <c r="R3" s="2" t="s">
        <v>65</v>
      </c>
      <c r="S3" s="2" t="s">
        <v>66</v>
      </c>
      <c r="T3" s="2" t="s">
        <v>67</v>
      </c>
      <c r="U3" s="2" t="s">
        <v>68</v>
      </c>
      <c r="V3" s="2" t="s">
        <v>69</v>
      </c>
      <c r="W3" s="2" t="n">
        <v>57.8</v>
      </c>
      <c r="X3" s="2" t="n">
        <v>93.4</v>
      </c>
      <c r="Y3" s="2" t="s">
        <v>70</v>
      </c>
      <c r="Z3" s="2" t="s">
        <v>71</v>
      </c>
      <c r="AA3" s="2" t="n">
        <v>3.55469411991933</v>
      </c>
      <c r="AB3" s="2" t="n">
        <v>18.5660776459635</v>
      </c>
      <c r="AC3" s="2" t="n">
        <v>67548207.2034834</v>
      </c>
      <c r="AD3" s="2" t="n">
        <v>15324030.0819377</v>
      </c>
      <c r="AE3" s="4" t="n">
        <v>4.40799233898019</v>
      </c>
      <c r="AF3" s="4" t="n">
        <v>2.14012171653047</v>
      </c>
      <c r="AG3" s="4" t="s">
        <v>72</v>
      </c>
      <c r="AH3" s="2" t="n">
        <v>0.0444802296027563</v>
      </c>
      <c r="AI3" s="2" t="n">
        <v>0.0977330879160675</v>
      </c>
      <c r="AJ3" s="2" t="n">
        <v>104068069.441865</v>
      </c>
      <c r="AK3" s="2" t="n">
        <v>24066643.003198</v>
      </c>
      <c r="AL3" s="2" t="n">
        <v>23139945.0847909</v>
      </c>
      <c r="AM3" s="2" t="n">
        <v>53885276.7582449</v>
      </c>
      <c r="AN3" s="2" t="n">
        <v>132581101.729318</v>
      </c>
      <c r="AO3" s="2" t="n">
        <v>13361176.5511733</v>
      </c>
      <c r="AP3" s="2" t="n">
        <v>15691074.1475251</v>
      </c>
      <c r="AQ3" s="2" t="n">
        <v>14705471.2159996</v>
      </c>
      <c r="AR3" s="2" t="n">
        <v>15204235.9534732</v>
      </c>
      <c r="AS3" s="2" t="n">
        <v>17658192.5415173</v>
      </c>
    </row>
    <row r="4">
      <c r="A4" s="2" t="s">
        <v>73</v>
      </c>
      <c r="B4" s="2" t="n">
        <v>663.453356215918</v>
      </c>
      <c r="C4" s="2" t="n">
        <v>13.9426833333333</v>
      </c>
      <c r="D4" s="2" t="s">
        <v>59</v>
      </c>
      <c r="E4" s="2" t="s">
        <v>74</v>
      </c>
      <c r="F4" s="2" t="n">
        <v>274649</v>
      </c>
      <c r="G4" s="5" t="str">
        <f>HYPERLINK("http://funmeta.oebiotech.com/network/274649", "http://funmeta.oebiotech.com/network/274649")</f>
      </c>
      <c r="H4" s="2"/>
      <c r="I4" s="2" t="n">
        <v>64806</v>
      </c>
      <c r="J4" s="2"/>
      <c r="K4" s="2"/>
      <c r="L4" s="2"/>
      <c r="M4" s="2"/>
      <c r="N4" s="2"/>
      <c r="O4" s="2" t="n">
        <v>57370056</v>
      </c>
      <c r="P4" s="2"/>
      <c r="Q4" s="2" t="s">
        <v>75</v>
      </c>
      <c r="R4" s="2" t="s">
        <v>76</v>
      </c>
      <c r="S4" s="2" t="s">
        <v>77</v>
      </c>
      <c r="T4" s="2" t="s">
        <v>77</v>
      </c>
      <c r="U4" s="2" t="s">
        <v>77</v>
      </c>
      <c r="V4" s="2" t="s">
        <v>54</v>
      </c>
      <c r="W4" s="2" t="n">
        <v>39.1</v>
      </c>
      <c r="X4" s="2" t="n">
        <v>6.14</v>
      </c>
      <c r="Y4" s="2" t="s">
        <v>78</v>
      </c>
      <c r="Z4" s="2" t="s">
        <v>79</v>
      </c>
      <c r="AA4" s="2" t="n">
        <v>8.08948889913741</v>
      </c>
      <c r="AB4" s="2" t="n">
        <v>13.3806024057287</v>
      </c>
      <c r="AC4" s="2" t="n">
        <v>34926726.4233379</v>
      </c>
      <c r="AD4" s="2" t="n">
        <v>6936568.46464396</v>
      </c>
      <c r="AE4" s="4" t="n">
        <v>5.03515918589446</v>
      </c>
      <c r="AF4" s="4" t="n">
        <v>2.33203738956676</v>
      </c>
      <c r="AG4" s="4" t="s">
        <v>72</v>
      </c>
      <c r="AH4" s="2" t="n">
        <v>0.0459052114848329</v>
      </c>
      <c r="AI4" s="2" t="n">
        <v>0.0995386622005615</v>
      </c>
      <c r="AJ4" s="2" t="n">
        <v>51677845.0178937</v>
      </c>
      <c r="AK4" s="2" t="n">
        <v>10898252.2183947</v>
      </c>
      <c r="AL4" s="2" t="n">
        <v>11297284.8813718</v>
      </c>
      <c r="AM4" s="2" t="n">
        <v>28977411.8789899</v>
      </c>
      <c r="AN4" s="2" t="n">
        <v>71782838.1200393</v>
      </c>
      <c r="AO4" s="2" t="n">
        <v>6335374.79499881</v>
      </c>
      <c r="AP4" s="2" t="n">
        <v>6963695.53585414</v>
      </c>
      <c r="AQ4" s="2" t="n">
        <v>6754778.3418179</v>
      </c>
      <c r="AR4" s="2" t="n">
        <v>6691619.66616209</v>
      </c>
      <c r="AS4" s="2" t="n">
        <v>7937373.98438685</v>
      </c>
    </row>
    <row r="5">
      <c r="A5" s="2" t="s">
        <v>80</v>
      </c>
      <c r="B5" s="2" t="n">
        <v>695.28580761483</v>
      </c>
      <c r="C5" s="2" t="n">
        <v>6.16701666666667</v>
      </c>
      <c r="D5" s="2" t="s">
        <v>46</v>
      </c>
      <c r="E5" s="2" t="s">
        <v>81</v>
      </c>
      <c r="F5" s="2" t="n">
        <v>204814</v>
      </c>
      <c r="G5" s="5" t="str">
        <f>HYPERLINK("http://funmeta.oebiotech.com/network/204814", "http://funmeta.oebiotech.com/network/204814")</f>
      </c>
      <c r="H5" s="2" t="s">
        <v>82</v>
      </c>
      <c r="I5" s="2"/>
      <c r="J5" s="2"/>
      <c r="K5" s="2"/>
      <c r="L5" s="2"/>
      <c r="M5" s="2"/>
      <c r="N5" s="2"/>
      <c r="O5" s="2" t="n">
        <v>9841240</v>
      </c>
      <c r="P5" s="2"/>
      <c r="Q5" s="2" t="s">
        <v>83</v>
      </c>
      <c r="R5" s="2" t="s">
        <v>84</v>
      </c>
      <c r="S5" s="2" t="s">
        <v>77</v>
      </c>
      <c r="T5" s="2" t="s">
        <v>77</v>
      </c>
      <c r="U5" s="2" t="s">
        <v>77</v>
      </c>
      <c r="V5" s="2" t="s">
        <v>69</v>
      </c>
      <c r="W5" s="2" t="n">
        <v>46.9</v>
      </c>
      <c r="X5" s="2" t="n">
        <v>51.2</v>
      </c>
      <c r="Y5" s="2" t="s">
        <v>85</v>
      </c>
      <c r="Z5" s="2" t="s">
        <v>86</v>
      </c>
      <c r="AA5" s="2" t="n">
        <v>-2.44289138231531</v>
      </c>
      <c r="AB5" s="2" t="n">
        <v>10.1392466455042</v>
      </c>
      <c r="AC5" s="2" t="n">
        <v>54851.1587172075</v>
      </c>
      <c r="AD5" s="2" t="n">
        <v>10529607.3205759</v>
      </c>
      <c r="AE5" s="3" t="n">
        <v>0.00520923117522366</v>
      </c>
      <c r="AF5" s="3" t="n">
        <v>-7.58471382224265</v>
      </c>
      <c r="AG5" s="3" t="s">
        <v>57</v>
      </c>
      <c r="AH5" s="2" t="n">
        <v>0.00000342183452641883</v>
      </c>
      <c r="AI5" s="2" t="n">
        <v>0.000347181086776329</v>
      </c>
      <c r="AJ5" s="2" t="n">
        <v>12310.6188169919</v>
      </c>
      <c r="AK5" s="2" t="n">
        <v>11964.0862483956</v>
      </c>
      <c r="AL5" s="2" t="n">
        <v>215026.317371771</v>
      </c>
      <c r="AM5" s="2" t="n">
        <v>34954.771147515</v>
      </c>
      <c r="AN5" s="2" t="n">
        <v>0.00000136409140715624</v>
      </c>
      <c r="AO5" s="2" t="n">
        <v>10646573.0243108</v>
      </c>
      <c r="AP5" s="2" t="n">
        <v>8142780.38938524</v>
      </c>
      <c r="AQ5" s="2" t="n">
        <v>13816249.6214448</v>
      </c>
      <c r="AR5" s="2" t="n">
        <v>9727437.30068689</v>
      </c>
      <c r="AS5" s="2" t="n">
        <v>10314996.267052</v>
      </c>
    </row>
    <row r="6">
      <c r="A6" s="2" t="s">
        <v>87</v>
      </c>
      <c r="B6" s="2" t="n">
        <v>138.0550255749</v>
      </c>
      <c r="C6" s="2" t="n">
        <v>0.749333333333333</v>
      </c>
      <c r="D6" s="2" t="s">
        <v>59</v>
      </c>
      <c r="E6" s="2" t="s">
        <v>88</v>
      </c>
      <c r="F6" s="2" t="n">
        <v>208645</v>
      </c>
      <c r="G6" s="5" t="str">
        <f>HYPERLINK("http://funmeta.oebiotech.com/network/208645", "http://funmeta.oebiotech.com/network/208645")</f>
      </c>
      <c r="H6" s="2" t="s">
        <v>89</v>
      </c>
      <c r="I6" s="2"/>
      <c r="J6" s="2"/>
      <c r="K6" s="2"/>
      <c r="L6" s="2"/>
      <c r="M6" s="2"/>
      <c r="N6" s="2"/>
      <c r="O6" s="2" t="n">
        <v>53995407</v>
      </c>
      <c r="P6" s="2"/>
      <c r="Q6" s="2" t="s">
        <v>90</v>
      </c>
      <c r="R6" s="2" t="s">
        <v>91</v>
      </c>
      <c r="S6" s="2" t="s">
        <v>77</v>
      </c>
      <c r="T6" s="2" t="s">
        <v>77</v>
      </c>
      <c r="U6" s="2" t="s">
        <v>77</v>
      </c>
      <c r="V6" s="2" t="s">
        <v>92</v>
      </c>
      <c r="W6" s="2" t="n">
        <v>58.8</v>
      </c>
      <c r="X6" s="2" t="n">
        <v>92.2</v>
      </c>
      <c r="Y6" s="2" t="s">
        <v>93</v>
      </c>
      <c r="Z6" s="2" t="s">
        <v>94</v>
      </c>
      <c r="AA6" s="2" t="n">
        <v>0.455782217024937</v>
      </c>
      <c r="AB6" s="2" t="n">
        <v>9.85788893789108</v>
      </c>
      <c r="AC6" s="2" t="n">
        <v>12041165.3975319</v>
      </c>
      <c r="AD6" s="2" t="n">
        <v>325490.039264536</v>
      </c>
      <c r="AE6" s="4" t="n">
        <v>36.9939597068459</v>
      </c>
      <c r="AF6" s="4" t="n">
        <v>5.20921782475419</v>
      </c>
      <c r="AG6" s="4" t="s">
        <v>72</v>
      </c>
      <c r="AH6" s="2" t="n">
        <v>0.0111766694821958</v>
      </c>
      <c r="AI6" s="2" t="n">
        <v>0.0389852875986115</v>
      </c>
      <c r="AJ6" s="2" t="n">
        <v>21908575.5892843</v>
      </c>
      <c r="AK6" s="2" t="n">
        <v>4437024.12147242</v>
      </c>
      <c r="AL6" s="2" t="n">
        <v>5529940.86726495</v>
      </c>
      <c r="AM6" s="2" t="n">
        <v>9251334.99166676</v>
      </c>
      <c r="AN6" s="2" t="n">
        <v>19078951.4179712</v>
      </c>
      <c r="AO6" s="2" t="n">
        <v>197910.094491392</v>
      </c>
      <c r="AP6" s="2" t="n">
        <v>346312.839495208</v>
      </c>
      <c r="AQ6" s="2" t="n">
        <v>226473.316402754</v>
      </c>
      <c r="AR6" s="2" t="n">
        <v>665789.533909425</v>
      </c>
      <c r="AS6" s="2" t="n">
        <v>190964.412023899</v>
      </c>
    </row>
    <row r="7">
      <c r="A7" s="2" t="s">
        <v>95</v>
      </c>
      <c r="B7" s="2" t="n">
        <v>188.070771692074</v>
      </c>
      <c r="C7" s="2" t="n">
        <v>3.64293333333333</v>
      </c>
      <c r="D7" s="2" t="s">
        <v>59</v>
      </c>
      <c r="E7" s="2" t="s">
        <v>96</v>
      </c>
      <c r="F7" s="2" t="n">
        <v>47188</v>
      </c>
      <c r="G7" s="5" t="str">
        <f>HYPERLINK("http://funmeta.oebiotech.com/network/47188", "http://funmeta.oebiotech.com/network/47188")</f>
      </c>
      <c r="H7" s="2" t="s">
        <v>97</v>
      </c>
      <c r="I7" s="2"/>
      <c r="J7" s="2"/>
      <c r="K7" s="2" t="n">
        <v>132244</v>
      </c>
      <c r="L7" s="2"/>
      <c r="M7" s="2"/>
      <c r="N7" s="2"/>
      <c r="O7" s="2" t="n">
        <v>5375048</v>
      </c>
      <c r="P7" s="2" t="s">
        <v>98</v>
      </c>
      <c r="Q7" s="2" t="s">
        <v>99</v>
      </c>
      <c r="R7" s="2" t="s">
        <v>100</v>
      </c>
      <c r="S7" s="2" t="s">
        <v>51</v>
      </c>
      <c r="T7" s="2" t="s">
        <v>101</v>
      </c>
      <c r="U7" s="2" t="s">
        <v>102</v>
      </c>
      <c r="V7" s="2" t="s">
        <v>54</v>
      </c>
      <c r="W7" s="2" t="n">
        <v>46.1</v>
      </c>
      <c r="X7" s="2" t="n">
        <v>32.8</v>
      </c>
      <c r="Y7" s="2" t="s">
        <v>103</v>
      </c>
      <c r="Z7" s="2" t="s">
        <v>104</v>
      </c>
      <c r="AA7" s="2" t="n">
        <v>0.891289198443377</v>
      </c>
      <c r="AB7" s="2" t="n">
        <v>8.39769679820467</v>
      </c>
      <c r="AC7" s="2" t="n">
        <v>10013755.7962429</v>
      </c>
      <c r="AD7" s="2" t="n">
        <v>17891082.7449257</v>
      </c>
      <c r="AE7" s="3" t="n">
        <v>0.559706527492475</v>
      </c>
      <c r="AF7" s="3" t="n">
        <v>-0.837257521843615</v>
      </c>
      <c r="AG7" s="3" t="s">
        <v>57</v>
      </c>
      <c r="AH7" s="2" t="n">
        <v>0.000080632566462863</v>
      </c>
      <c r="AI7" s="2" t="n">
        <v>0.00126338727131652</v>
      </c>
      <c r="AJ7" s="2" t="n">
        <v>10309658.7779506</v>
      </c>
      <c r="AK7" s="2" t="n">
        <v>11104998.600888</v>
      </c>
      <c r="AL7" s="2" t="n">
        <v>10893569.382959</v>
      </c>
      <c r="AM7" s="2" t="n">
        <v>11374985.047067</v>
      </c>
      <c r="AN7" s="2" t="n">
        <v>6385567.17234992</v>
      </c>
      <c r="AO7" s="2" t="n">
        <v>17049090.8067469</v>
      </c>
      <c r="AP7" s="2" t="n">
        <v>17601022.7384303</v>
      </c>
      <c r="AQ7" s="2" t="n">
        <v>19975222.4259024</v>
      </c>
      <c r="AR7" s="2" t="n">
        <v>16984990.1499374</v>
      </c>
      <c r="AS7" s="2" t="n">
        <v>17845087.6036116</v>
      </c>
    </row>
    <row r="8">
      <c r="A8" s="2" t="s">
        <v>105</v>
      </c>
      <c r="B8" s="2" t="n">
        <v>245.186015720241</v>
      </c>
      <c r="C8" s="2" t="n">
        <v>4.16875</v>
      </c>
      <c r="D8" s="2" t="s">
        <v>59</v>
      </c>
      <c r="E8" s="2" t="s">
        <v>106</v>
      </c>
      <c r="F8" s="2" t="n">
        <v>209227</v>
      </c>
      <c r="G8" s="5" t="str">
        <f>HYPERLINK("http://funmeta.oebiotech.com/network/209227", "http://funmeta.oebiotech.com/network/209227")</f>
      </c>
      <c r="H8" s="2" t="s">
        <v>107</v>
      </c>
      <c r="I8" s="2"/>
      <c r="J8" s="2"/>
      <c r="K8" s="2"/>
      <c r="L8" s="2"/>
      <c r="M8" s="2"/>
      <c r="N8" s="2"/>
      <c r="O8" s="2"/>
      <c r="P8" s="2"/>
      <c r="Q8" s="2" t="s">
        <v>108</v>
      </c>
      <c r="R8" s="2" t="s">
        <v>109</v>
      </c>
      <c r="S8" s="2" t="s">
        <v>110</v>
      </c>
      <c r="T8" s="2" t="s">
        <v>111</v>
      </c>
      <c r="U8" s="2" t="s">
        <v>112</v>
      </c>
      <c r="V8" s="2" t="s">
        <v>54</v>
      </c>
      <c r="W8" s="2" t="n">
        <v>44.7</v>
      </c>
      <c r="X8" s="2" t="n">
        <v>25.6</v>
      </c>
      <c r="Y8" s="2" t="s">
        <v>78</v>
      </c>
      <c r="Z8" s="2" t="s">
        <v>113</v>
      </c>
      <c r="AA8" s="2" t="n">
        <v>0.205383451413279</v>
      </c>
      <c r="AB8" s="2" t="n">
        <v>7.05331825182703</v>
      </c>
      <c r="AC8" s="2" t="n">
        <v>3254947.99373042</v>
      </c>
      <c r="AD8" s="2" t="n">
        <v>9083269.3247809</v>
      </c>
      <c r="AE8" s="3" t="n">
        <v>0.358345423585569</v>
      </c>
      <c r="AF8" s="3" t="n">
        <v>-1.4805771648524</v>
      </c>
      <c r="AG8" s="3" t="s">
        <v>57</v>
      </c>
      <c r="AH8" s="2" t="n">
        <v>0.0033525199444782</v>
      </c>
      <c r="AI8" s="2" t="n">
        <v>0.0164262264838146</v>
      </c>
      <c r="AJ8" s="2" t="n">
        <v>1880904.49591254</v>
      </c>
      <c r="AK8" s="2" t="n">
        <v>5598924.36421445</v>
      </c>
      <c r="AL8" s="2" t="n">
        <v>5522856.4060395</v>
      </c>
      <c r="AM8" s="2" t="n">
        <v>3079083.77222239</v>
      </c>
      <c r="AN8" s="2" t="n">
        <v>192970.93026321</v>
      </c>
      <c r="AO8" s="2" t="n">
        <v>7358213.69958682</v>
      </c>
      <c r="AP8" s="2" t="n">
        <v>8227206.1681109</v>
      </c>
      <c r="AQ8" s="2" t="n">
        <v>10802001.7960558</v>
      </c>
      <c r="AR8" s="2" t="n">
        <v>7159424.565988</v>
      </c>
      <c r="AS8" s="2" t="n">
        <v>11869500.394163</v>
      </c>
    </row>
    <row r="9">
      <c r="A9" s="2" t="s">
        <v>114</v>
      </c>
      <c r="B9" s="2" t="n">
        <v>235.165175878444</v>
      </c>
      <c r="C9" s="2" t="n">
        <v>0.7166</v>
      </c>
      <c r="D9" s="2" t="s">
        <v>59</v>
      </c>
      <c r="E9" s="2" t="s">
        <v>115</v>
      </c>
      <c r="F9" s="2" t="n">
        <v>8287</v>
      </c>
      <c r="G9" s="5" t="str">
        <f>HYPERLINK("http://funmeta.oebiotech.com/network/8287", "http://funmeta.oebiotech.com/network/8287")</f>
      </c>
      <c r="H9" s="2" t="s">
        <v>116</v>
      </c>
      <c r="I9" s="2" t="n">
        <v>36668</v>
      </c>
      <c r="J9" s="2" t="s">
        <v>117</v>
      </c>
      <c r="K9" s="2" t="n">
        <v>53210</v>
      </c>
      <c r="L9" s="2" t="s">
        <v>118</v>
      </c>
      <c r="M9" s="2"/>
      <c r="N9" s="2"/>
      <c r="O9" s="2" t="n">
        <v>188824</v>
      </c>
      <c r="P9" s="2"/>
      <c r="Q9" s="2" t="s">
        <v>119</v>
      </c>
      <c r="R9" s="2" t="s">
        <v>120</v>
      </c>
      <c r="S9" s="2" t="s">
        <v>66</v>
      </c>
      <c r="T9" s="2" t="s">
        <v>67</v>
      </c>
      <c r="U9" s="2" t="s">
        <v>121</v>
      </c>
      <c r="V9" s="2" t="s">
        <v>122</v>
      </c>
      <c r="W9" s="2" t="n">
        <v>42.5</v>
      </c>
      <c r="X9" s="2" t="n">
        <v>10.1</v>
      </c>
      <c r="Y9" s="2" t="s">
        <v>70</v>
      </c>
      <c r="Z9" s="2" t="s">
        <v>123</v>
      </c>
      <c r="AA9" s="2" t="n">
        <v>-0.265939995973611</v>
      </c>
      <c r="AB9" s="2" t="n">
        <v>6.66098351705957</v>
      </c>
      <c r="AC9" s="2" t="n">
        <v>9027576.3536945</v>
      </c>
      <c r="AD9" s="2" t="n">
        <v>2683883.43915597</v>
      </c>
      <c r="AE9" s="4" t="n">
        <v>3.36362459784524</v>
      </c>
      <c r="AF9" s="4" t="n">
        <v>1.75001670052516</v>
      </c>
      <c r="AG9" s="4" t="s">
        <v>72</v>
      </c>
      <c r="AH9" s="2" t="n">
        <v>0.0437059701515262</v>
      </c>
      <c r="AI9" s="2" t="n">
        <v>0.0967574556433485</v>
      </c>
      <c r="AJ9" s="2" t="n">
        <v>14974633.1996452</v>
      </c>
      <c r="AK9" s="2" t="n">
        <v>3339102.6282194</v>
      </c>
      <c r="AL9" s="2" t="n">
        <v>3899572.52723814</v>
      </c>
      <c r="AM9" s="2" t="n">
        <v>7343841.16762527</v>
      </c>
      <c r="AN9" s="2" t="n">
        <v>15580732.2457445</v>
      </c>
      <c r="AO9" s="2" t="n">
        <v>2184866.82743034</v>
      </c>
      <c r="AP9" s="2" t="n">
        <v>2971352.29221496</v>
      </c>
      <c r="AQ9" s="2" t="n">
        <v>2444610.64967397</v>
      </c>
      <c r="AR9" s="2" t="n">
        <v>2489656.77392321</v>
      </c>
      <c r="AS9" s="2" t="n">
        <v>3328930.65253738</v>
      </c>
    </row>
    <row r="10">
      <c r="A10" s="2" t="s">
        <v>124</v>
      </c>
      <c r="B10" s="2" t="n">
        <v>615.277686748266</v>
      </c>
      <c r="C10" s="2" t="n">
        <v>7.04415</v>
      </c>
      <c r="D10" s="2" t="s">
        <v>46</v>
      </c>
      <c r="E10" s="2" t="s">
        <v>125</v>
      </c>
      <c r="F10" s="2" t="n">
        <v>24876</v>
      </c>
      <c r="G10" s="5" t="str">
        <f>HYPERLINK("http://funmeta.oebiotech.com/network/24876", "http://funmeta.oebiotech.com/network/24876")</f>
      </c>
      <c r="H10" s="2"/>
      <c r="I10" s="2"/>
      <c r="J10" s="2" t="s">
        <v>126</v>
      </c>
      <c r="K10" s="2"/>
      <c r="L10" s="2"/>
      <c r="M10" s="2"/>
      <c r="N10" s="2"/>
      <c r="O10" s="2" t="n">
        <v>52928604</v>
      </c>
      <c r="P10" s="2"/>
      <c r="Q10" s="2" t="s">
        <v>127</v>
      </c>
      <c r="R10" s="2" t="s">
        <v>128</v>
      </c>
      <c r="S10" s="2" t="s">
        <v>66</v>
      </c>
      <c r="T10" s="2" t="s">
        <v>129</v>
      </c>
      <c r="U10" s="2" t="s">
        <v>130</v>
      </c>
      <c r="V10" s="2" t="s">
        <v>54</v>
      </c>
      <c r="W10" s="2" t="n">
        <v>37.9</v>
      </c>
      <c r="X10" s="2" t="n">
        <v>0</v>
      </c>
      <c r="Y10" s="2" t="s">
        <v>131</v>
      </c>
      <c r="Z10" s="2" t="s">
        <v>132</v>
      </c>
      <c r="AA10" s="2" t="n">
        <v>-1.80559166895281</v>
      </c>
      <c r="AB10" s="2" t="n">
        <v>6.39505759289816</v>
      </c>
      <c r="AC10" s="2" t="n">
        <v>100037.478170093</v>
      </c>
      <c r="AD10" s="2" t="n">
        <v>5672962.16432507</v>
      </c>
      <c r="AE10" s="3" t="n">
        <v>0.0176340816794421</v>
      </c>
      <c r="AF10" s="3" t="n">
        <v>-5.82548974250567</v>
      </c>
      <c r="AG10" s="3" t="s">
        <v>57</v>
      </c>
      <c r="AH10" s="2" t="n">
        <v>0.0365459995860264</v>
      </c>
      <c r="AI10" s="2" t="n">
        <v>0.0862850755737771</v>
      </c>
      <c r="AJ10" s="2" t="n">
        <v>195203.591181707</v>
      </c>
      <c r="AK10" s="2" t="n">
        <v>0.00000136409140715624</v>
      </c>
      <c r="AL10" s="2" t="n">
        <v>74894.3026579632</v>
      </c>
      <c r="AM10" s="2" t="n">
        <v>230089.497008065</v>
      </c>
      <c r="AN10" s="2" t="n">
        <v>0.00000136409140715624</v>
      </c>
      <c r="AO10" s="2" t="n">
        <v>2630390.03747942</v>
      </c>
      <c r="AP10" s="2" t="n">
        <v>4062681.34961387</v>
      </c>
      <c r="AQ10" s="2" t="n">
        <v>14228796.3789669</v>
      </c>
      <c r="AR10" s="2" t="n">
        <v>1972124.24062814</v>
      </c>
      <c r="AS10" s="2" t="n">
        <v>5470818.814937</v>
      </c>
    </row>
    <row r="11">
      <c r="A11" s="2" t="s">
        <v>133</v>
      </c>
      <c r="B11" s="2" t="n">
        <v>619.308699611711</v>
      </c>
      <c r="C11" s="2" t="n">
        <v>6.9739</v>
      </c>
      <c r="D11" s="2" t="s">
        <v>46</v>
      </c>
      <c r="E11" s="2" t="s">
        <v>134</v>
      </c>
      <c r="F11" s="2" t="n">
        <v>534713</v>
      </c>
      <c r="G11" s="5" t="str">
        <f>HYPERLINK("http://funmeta.oebiotech.com/network/534713", "http://funmeta.oebiotech.com/network/534713")</f>
      </c>
      <c r="H11" s="2"/>
      <c r="I11" s="2" t="n">
        <v>985314</v>
      </c>
      <c r="J11" s="2"/>
      <c r="K11" s="2"/>
      <c r="L11" s="2"/>
      <c r="M11" s="2"/>
      <c r="N11" s="2"/>
      <c r="O11" s="2" t="n">
        <v>45359486</v>
      </c>
      <c r="P11" s="2"/>
      <c r="Q11" s="2" t="s">
        <v>135</v>
      </c>
      <c r="R11" s="2" t="s">
        <v>136</v>
      </c>
      <c r="S11" s="2" t="s">
        <v>137</v>
      </c>
      <c r="T11" s="2" t="s">
        <v>138</v>
      </c>
      <c r="U11" s="2" t="s">
        <v>139</v>
      </c>
      <c r="V11" s="2" t="s">
        <v>54</v>
      </c>
      <c r="W11" s="2" t="n">
        <v>37.4</v>
      </c>
      <c r="X11" s="2" t="n">
        <v>0</v>
      </c>
      <c r="Y11" s="2" t="s">
        <v>85</v>
      </c>
      <c r="Z11" s="2" t="s">
        <v>140</v>
      </c>
      <c r="AA11" s="2" t="n">
        <v>3.52549840017939</v>
      </c>
      <c r="AB11" s="2" t="n">
        <v>6.1706164419748</v>
      </c>
      <c r="AC11" s="2" t="n">
        <v>80317.1398638493</v>
      </c>
      <c r="AD11" s="2" t="n">
        <v>5288740.98350063</v>
      </c>
      <c r="AE11" s="3" t="n">
        <v>0.0151864385331813</v>
      </c>
      <c r="AF11" s="3" t="n">
        <v>-6.04107261571852</v>
      </c>
      <c r="AG11" s="3" t="s">
        <v>57</v>
      </c>
      <c r="AH11" s="2" t="n">
        <v>0.0468204192803455</v>
      </c>
      <c r="AI11" s="2" t="n">
        <v>0.100464173190342</v>
      </c>
      <c r="AJ11" s="2" t="n">
        <v>65981.204848797</v>
      </c>
      <c r="AK11" s="2" t="n">
        <v>4073.15029225275</v>
      </c>
      <c r="AL11" s="2" t="n">
        <v>254522.682537042</v>
      </c>
      <c r="AM11" s="2" t="n">
        <v>77008.6616397905</v>
      </c>
      <c r="AN11" s="2" t="n">
        <v>0.00000136409140715624</v>
      </c>
      <c r="AO11" s="2" t="n">
        <v>2189536.00693126</v>
      </c>
      <c r="AP11" s="2" t="n">
        <v>1562791.27403869</v>
      </c>
      <c r="AQ11" s="2" t="n">
        <v>12508653.6244918</v>
      </c>
      <c r="AR11" s="2" t="n">
        <v>1724748.5241285</v>
      </c>
      <c r="AS11" s="2" t="n">
        <v>8457975.48791292</v>
      </c>
    </row>
    <row r="12">
      <c r="A12" s="2" t="s">
        <v>141</v>
      </c>
      <c r="B12" s="2" t="n">
        <v>577.261822529816</v>
      </c>
      <c r="C12" s="2" t="n">
        <v>6.92075</v>
      </c>
      <c r="D12" s="2" t="s">
        <v>46</v>
      </c>
      <c r="E12" s="2" t="s">
        <v>142</v>
      </c>
      <c r="F12" s="2" t="n">
        <v>53708</v>
      </c>
      <c r="G12" s="5" t="str">
        <f>HYPERLINK("http://funmeta.oebiotech.com/network/53708", "http://funmeta.oebiotech.com/network/53708")</f>
      </c>
      <c r="H12" s="2" t="s">
        <v>143</v>
      </c>
      <c r="I12" s="2" t="n">
        <v>85586</v>
      </c>
      <c r="J12" s="2"/>
      <c r="K12" s="2" t="n">
        <v>768237</v>
      </c>
      <c r="L12" s="2"/>
      <c r="M12" s="2"/>
      <c r="N12" s="2"/>
      <c r="O12" s="2" t="n">
        <v>25295</v>
      </c>
      <c r="P12" s="2" t="s">
        <v>144</v>
      </c>
      <c r="Q12" s="2" t="s">
        <v>145</v>
      </c>
      <c r="R12" s="2" t="s">
        <v>146</v>
      </c>
      <c r="S12" s="2" t="s">
        <v>147</v>
      </c>
      <c r="T12" s="2" t="s">
        <v>148</v>
      </c>
      <c r="U12" s="2" t="s">
        <v>149</v>
      </c>
      <c r="V12" s="2" t="s">
        <v>54</v>
      </c>
      <c r="W12" s="2" t="n">
        <v>39.9</v>
      </c>
      <c r="X12" s="2" t="n">
        <v>26.6</v>
      </c>
      <c r="Y12" s="2" t="s">
        <v>85</v>
      </c>
      <c r="Z12" s="2" t="s">
        <v>150</v>
      </c>
      <c r="AA12" s="2" t="n">
        <v>-0.0894908255121659</v>
      </c>
      <c r="AB12" s="2" t="n">
        <v>6.01356592714416</v>
      </c>
      <c r="AC12" s="2" t="n">
        <v>920.689802300899</v>
      </c>
      <c r="AD12" s="2" t="n">
        <v>4988938.1741975</v>
      </c>
      <c r="AE12" s="3" t="n">
        <v>0.000184546244141219</v>
      </c>
      <c r="AF12" s="3" t="n">
        <v>-12.4037300031904</v>
      </c>
      <c r="AG12" s="3" t="s">
        <v>57</v>
      </c>
      <c r="AH12" s="2" t="n">
        <v>0.0403042863103055</v>
      </c>
      <c r="AI12" s="2" t="n">
        <v>0.0918643009639792</v>
      </c>
      <c r="AJ12" s="2" t="n">
        <v>0.00000136409140715624</v>
      </c>
      <c r="AK12" s="2" t="n">
        <v>0.00000136409140715624</v>
      </c>
      <c r="AL12" s="2" t="n">
        <v>4603.44900604813</v>
      </c>
      <c r="AM12" s="2" t="n">
        <v>0.00000136409140715624</v>
      </c>
      <c r="AN12" s="2" t="n">
        <v>0.00000136409140715624</v>
      </c>
      <c r="AO12" s="2" t="n">
        <v>4061025.3818723</v>
      </c>
      <c r="AP12" s="2" t="n">
        <v>6939049.17766198</v>
      </c>
      <c r="AQ12" s="2" t="n">
        <v>11820379.1899465</v>
      </c>
      <c r="AR12" s="2" t="n">
        <v>311646.899190228</v>
      </c>
      <c r="AS12" s="2" t="n">
        <v>1812590.22231651</v>
      </c>
    </row>
    <row r="13">
      <c r="A13" s="2" t="s">
        <v>151</v>
      </c>
      <c r="B13" s="2" t="n">
        <v>166.086407095145</v>
      </c>
      <c r="C13" s="2" t="n">
        <v>2.13388333333333</v>
      </c>
      <c r="D13" s="2" t="s">
        <v>59</v>
      </c>
      <c r="E13" s="2" t="s">
        <v>152</v>
      </c>
      <c r="F13" s="2" t="n">
        <v>60311</v>
      </c>
      <c r="G13" s="5" t="str">
        <f>HYPERLINK("http://funmeta.oebiotech.com/network/60311", "http://funmeta.oebiotech.com/network/60311")</f>
      </c>
      <c r="H13" s="2" t="s">
        <v>153</v>
      </c>
      <c r="I13" s="2" t="n">
        <v>65745</v>
      </c>
      <c r="J13" s="2"/>
      <c r="K13" s="2" t="n">
        <v>16151</v>
      </c>
      <c r="L13" s="2" t="s">
        <v>154</v>
      </c>
      <c r="M13" s="2"/>
      <c r="N13" s="2"/>
      <c r="O13" s="2" t="n">
        <v>660</v>
      </c>
      <c r="P13" s="2" t="s">
        <v>155</v>
      </c>
      <c r="Q13" s="2" t="s">
        <v>156</v>
      </c>
      <c r="R13" s="2" t="s">
        <v>157</v>
      </c>
      <c r="S13" s="2" t="s">
        <v>158</v>
      </c>
      <c r="T13" s="2" t="s">
        <v>159</v>
      </c>
      <c r="U13" s="2" t="s">
        <v>77</v>
      </c>
      <c r="V13" s="2" t="s">
        <v>92</v>
      </c>
      <c r="W13" s="2" t="n">
        <v>51.2</v>
      </c>
      <c r="X13" s="2" t="n">
        <v>54.7</v>
      </c>
      <c r="Y13" s="2" t="s">
        <v>103</v>
      </c>
      <c r="Z13" s="2" t="s">
        <v>160</v>
      </c>
      <c r="AA13" s="2" t="n">
        <v>1.02713252193692</v>
      </c>
      <c r="AB13" s="2" t="n">
        <v>5.91730280084493</v>
      </c>
      <c r="AC13" s="2" t="n">
        <v>19348113.9563897</v>
      </c>
      <c r="AD13" s="2" t="n">
        <v>24783583.0489605</v>
      </c>
      <c r="AE13" s="3" t="n">
        <v>0.780682676841647</v>
      </c>
      <c r="AF13" s="3" t="n">
        <v>-0.357191837909523</v>
      </c>
      <c r="AG13" s="3" t="s">
        <v>57</v>
      </c>
      <c r="AH13" s="2" t="n">
        <v>0.00650725025294395</v>
      </c>
      <c r="AI13" s="2" t="n">
        <v>0.0268160945726101</v>
      </c>
      <c r="AJ13" s="2" t="n">
        <v>22396121.0696306</v>
      </c>
      <c r="AK13" s="2" t="n">
        <v>19425105.8809721</v>
      </c>
      <c r="AL13" s="2" t="n">
        <v>18887956.9753036</v>
      </c>
      <c r="AM13" s="2" t="n">
        <v>21882848.5604512</v>
      </c>
      <c r="AN13" s="2" t="n">
        <v>14148537.2955911</v>
      </c>
      <c r="AO13" s="2" t="n">
        <v>23966132.7112803</v>
      </c>
      <c r="AP13" s="2" t="n">
        <v>25204532.8305411</v>
      </c>
      <c r="AQ13" s="2" t="n">
        <v>25503916.6820956</v>
      </c>
      <c r="AR13" s="2" t="n">
        <v>24639414.9008982</v>
      </c>
      <c r="AS13" s="2" t="n">
        <v>24603918.1199871</v>
      </c>
    </row>
    <row r="14">
      <c r="A14" s="2" t="s">
        <v>161</v>
      </c>
      <c r="B14" s="2" t="n">
        <v>259.129677758448</v>
      </c>
      <c r="C14" s="2" t="n">
        <v>1.3679</v>
      </c>
      <c r="D14" s="2" t="s">
        <v>46</v>
      </c>
      <c r="E14" s="2" t="s">
        <v>162</v>
      </c>
      <c r="F14" s="2" t="n">
        <v>53930</v>
      </c>
      <c r="G14" s="5" t="str">
        <f>HYPERLINK("http://funmeta.oebiotech.com/network/53930", "http://funmeta.oebiotech.com/network/53930")</f>
      </c>
      <c r="H14" s="2" t="s">
        <v>163</v>
      </c>
      <c r="I14" s="2"/>
      <c r="J14" s="2"/>
      <c r="K14" s="2"/>
      <c r="L14" s="2"/>
      <c r="M14" s="2"/>
      <c r="N14" s="2"/>
      <c r="O14" s="2" t="n">
        <v>18218218</v>
      </c>
      <c r="P14" s="2"/>
      <c r="Q14" s="2" t="s">
        <v>164</v>
      </c>
      <c r="R14" s="2" t="s">
        <v>165</v>
      </c>
      <c r="S14" s="2" t="s">
        <v>110</v>
      </c>
      <c r="T14" s="2" t="s">
        <v>111</v>
      </c>
      <c r="U14" s="2" t="s">
        <v>112</v>
      </c>
      <c r="V14" s="2" t="s">
        <v>122</v>
      </c>
      <c r="W14" s="2" t="n">
        <v>47.8</v>
      </c>
      <c r="X14" s="2" t="n">
        <v>0</v>
      </c>
      <c r="Y14" s="2" t="s">
        <v>166</v>
      </c>
      <c r="Z14" s="2" t="s">
        <v>167</v>
      </c>
      <c r="AA14" s="2" t="n">
        <v>-1.02852775411823</v>
      </c>
      <c r="AB14" s="2" t="n">
        <v>5.90059574868589</v>
      </c>
      <c r="AC14" s="2" t="n">
        <v>519825.835254497</v>
      </c>
      <c r="AD14" s="2" t="n">
        <v>4062962.51886031</v>
      </c>
      <c r="AE14" s="3" t="n">
        <v>0.127942562315419</v>
      </c>
      <c r="AF14" s="3" t="n">
        <v>-2.96643181325871</v>
      </c>
      <c r="AG14" s="3" t="s">
        <v>57</v>
      </c>
      <c r="AH14" s="2" t="n">
        <v>0.00000709116418201293</v>
      </c>
      <c r="AI14" s="2" t="n">
        <v>0.000434588248123855</v>
      </c>
      <c r="AJ14" s="2" t="n">
        <v>206094.872338766</v>
      </c>
      <c r="AK14" s="2" t="n">
        <v>900120.561161779</v>
      </c>
      <c r="AL14" s="2" t="n">
        <v>1152060.43838198</v>
      </c>
      <c r="AM14" s="2" t="n">
        <v>327186.789296504</v>
      </c>
      <c r="AN14" s="2" t="n">
        <v>13666.5150934564</v>
      </c>
      <c r="AO14" s="2" t="n">
        <v>3895550.33941454</v>
      </c>
      <c r="AP14" s="2" t="n">
        <v>4157085.90897414</v>
      </c>
      <c r="AQ14" s="2" t="n">
        <v>4586385.31603891</v>
      </c>
      <c r="AR14" s="2" t="n">
        <v>3115186.55273423</v>
      </c>
      <c r="AS14" s="2" t="n">
        <v>4560604.47713971</v>
      </c>
    </row>
    <row r="15">
      <c r="A15" s="2" t="s">
        <v>168</v>
      </c>
      <c r="B15" s="2" t="n">
        <v>621.288343023865</v>
      </c>
      <c r="C15" s="2" t="n">
        <v>6.869</v>
      </c>
      <c r="D15" s="2" t="s">
        <v>46</v>
      </c>
      <c r="E15" s="2" t="s">
        <v>169</v>
      </c>
      <c r="F15" s="2" t="n">
        <v>201142</v>
      </c>
      <c r="G15" s="5" t="str">
        <f>HYPERLINK("http://funmeta.oebiotech.com/network/201142", "http://funmeta.oebiotech.com/network/201142")</f>
      </c>
      <c r="H15" s="2" t="s">
        <v>170</v>
      </c>
      <c r="I15" s="2"/>
      <c r="J15" s="2"/>
      <c r="K15" s="2"/>
      <c r="L15" s="2"/>
      <c r="M15" s="2"/>
      <c r="N15" s="2"/>
      <c r="O15" s="2" t="n">
        <v>75165221</v>
      </c>
      <c r="P15" s="2"/>
      <c r="Q15" s="2" t="s">
        <v>171</v>
      </c>
      <c r="R15" s="2" t="s">
        <v>172</v>
      </c>
      <c r="S15" s="2" t="s">
        <v>110</v>
      </c>
      <c r="T15" s="2" t="s">
        <v>111</v>
      </c>
      <c r="U15" s="2" t="s">
        <v>112</v>
      </c>
      <c r="V15" s="2" t="s">
        <v>54</v>
      </c>
      <c r="W15" s="2" t="n">
        <v>39.9</v>
      </c>
      <c r="X15" s="2" t="n">
        <v>11.7</v>
      </c>
      <c r="Y15" s="2" t="s">
        <v>85</v>
      </c>
      <c r="Z15" s="2" t="s">
        <v>173</v>
      </c>
      <c r="AA15" s="2" t="n">
        <v>-0.999709516366779</v>
      </c>
      <c r="AB15" s="2" t="n">
        <v>5.57771211792708</v>
      </c>
      <c r="AC15" s="2" t="n">
        <v>13919.3912074101</v>
      </c>
      <c r="AD15" s="2" t="n">
        <v>4261186.36081589</v>
      </c>
      <c r="AE15" s="3" t="n">
        <v>0.00326655302744021</v>
      </c>
      <c r="AF15" s="3" t="n">
        <v>-8.25801522480851</v>
      </c>
      <c r="AG15" s="3" t="s">
        <v>57</v>
      </c>
      <c r="AH15" s="2" t="n">
        <v>0.0478825756094514</v>
      </c>
      <c r="AI15" s="2" t="n">
        <v>0.10166372937369</v>
      </c>
      <c r="AJ15" s="2" t="n">
        <v>13395.064511207</v>
      </c>
      <c r="AK15" s="2" t="n">
        <v>0.00000136409140715624</v>
      </c>
      <c r="AL15" s="2" t="n">
        <v>11392.5020075259</v>
      </c>
      <c r="AM15" s="2" t="n">
        <v>19726.7678710555</v>
      </c>
      <c r="AN15" s="2" t="n">
        <v>25082.6216458978</v>
      </c>
      <c r="AO15" s="2" t="n">
        <v>2401229.5082609</v>
      </c>
      <c r="AP15" s="2" t="n">
        <v>2718949.9429241</v>
      </c>
      <c r="AQ15" s="2" t="n">
        <v>11196529.3990938</v>
      </c>
      <c r="AR15" s="2" t="n">
        <v>753097.207753777</v>
      </c>
      <c r="AS15" s="2" t="n">
        <v>4236125.74604685</v>
      </c>
    </row>
    <row r="16">
      <c r="A16" s="2" t="s">
        <v>174</v>
      </c>
      <c r="B16" s="2" t="n">
        <v>204.123282040631</v>
      </c>
      <c r="C16" s="2" t="n">
        <v>1.05406666666667</v>
      </c>
      <c r="D16" s="2" t="s">
        <v>59</v>
      </c>
      <c r="E16" s="2" t="s">
        <v>175</v>
      </c>
      <c r="F16" s="2" t="n">
        <v>207516</v>
      </c>
      <c r="G16" s="5" t="str">
        <f>HYPERLINK("http://funmeta.oebiotech.com/network/207516", "http://funmeta.oebiotech.com/network/207516")</f>
      </c>
      <c r="H16" s="2" t="s">
        <v>176</v>
      </c>
      <c r="I16" s="2"/>
      <c r="J16" s="2"/>
      <c r="K16" s="2"/>
      <c r="L16" s="2"/>
      <c r="M16" s="2"/>
      <c r="N16" s="2"/>
      <c r="O16" s="2"/>
      <c r="P16" s="2"/>
      <c r="Q16" s="2" t="s">
        <v>177</v>
      </c>
      <c r="R16" s="2" t="s">
        <v>178</v>
      </c>
      <c r="S16" s="2" t="s">
        <v>77</v>
      </c>
      <c r="T16" s="2" t="s">
        <v>77</v>
      </c>
      <c r="U16" s="2" t="s">
        <v>77</v>
      </c>
      <c r="V16" s="2" t="s">
        <v>54</v>
      </c>
      <c r="W16" s="2" t="n">
        <v>45.4</v>
      </c>
      <c r="X16" s="2" t="n">
        <v>32.4</v>
      </c>
      <c r="Y16" s="2" t="s">
        <v>70</v>
      </c>
      <c r="Z16" s="2" t="s">
        <v>179</v>
      </c>
      <c r="AA16" s="2" t="n">
        <v>1.33045549671394</v>
      </c>
      <c r="AB16" s="2" t="n">
        <v>5.42577022852525</v>
      </c>
      <c r="AC16" s="2" t="n">
        <v>4533223.33596189</v>
      </c>
      <c r="AD16" s="2" t="n">
        <v>159703.84417253</v>
      </c>
      <c r="AE16" s="4" t="n">
        <v>28.3851860889748</v>
      </c>
      <c r="AF16" s="4" t="n">
        <v>4.82706629462103</v>
      </c>
      <c r="AG16" s="4" t="s">
        <v>72</v>
      </c>
      <c r="AH16" s="2" t="n">
        <v>0.0374879252425887</v>
      </c>
      <c r="AI16" s="2" t="n">
        <v>0.0876313870881282</v>
      </c>
      <c r="AJ16" s="2" t="n">
        <v>7411769.16197705</v>
      </c>
      <c r="AK16" s="2" t="n">
        <v>942796.440671097</v>
      </c>
      <c r="AL16" s="2" t="n">
        <v>820088.966321841</v>
      </c>
      <c r="AM16" s="2" t="n">
        <v>3839654.43095392</v>
      </c>
      <c r="AN16" s="2" t="n">
        <v>9651807.67988555</v>
      </c>
      <c r="AO16" s="2" t="n">
        <v>78168.2984370021</v>
      </c>
      <c r="AP16" s="2" t="n">
        <v>142218.641461899</v>
      </c>
      <c r="AQ16" s="2" t="n">
        <v>150339.92377888</v>
      </c>
      <c r="AR16" s="2" t="n">
        <v>131190.263464097</v>
      </c>
      <c r="AS16" s="2" t="n">
        <v>296602.093720772</v>
      </c>
    </row>
    <row r="17">
      <c r="A17" s="2" t="s">
        <v>180</v>
      </c>
      <c r="B17" s="2" t="n">
        <v>140.068307300588</v>
      </c>
      <c r="C17" s="2" t="n">
        <v>0.684683333333333</v>
      </c>
      <c r="D17" s="2" t="s">
        <v>59</v>
      </c>
      <c r="E17" s="2" t="s">
        <v>181</v>
      </c>
      <c r="F17" s="2" t="n">
        <v>2483</v>
      </c>
      <c r="G17" s="5" t="str">
        <f>HYPERLINK("http://funmeta.oebiotech.com/network/2483", "http://funmeta.oebiotech.com/network/2483")</f>
      </c>
      <c r="H17" s="2" t="s">
        <v>182</v>
      </c>
      <c r="I17" s="2" t="n">
        <v>6902</v>
      </c>
      <c r="J17" s="2" t="s">
        <v>183</v>
      </c>
      <c r="K17" s="2" t="n">
        <v>15887</v>
      </c>
      <c r="L17" s="2" t="s">
        <v>184</v>
      </c>
      <c r="M17" s="2" t="s">
        <v>185</v>
      </c>
      <c r="N17" s="2" t="s">
        <v>186</v>
      </c>
      <c r="O17" s="2" t="n">
        <v>138</v>
      </c>
      <c r="P17" s="2" t="s">
        <v>187</v>
      </c>
      <c r="Q17" s="2" t="s">
        <v>188</v>
      </c>
      <c r="R17" s="2" t="s">
        <v>189</v>
      </c>
      <c r="S17" s="2" t="s">
        <v>110</v>
      </c>
      <c r="T17" s="2" t="s">
        <v>111</v>
      </c>
      <c r="U17" s="2" t="s">
        <v>112</v>
      </c>
      <c r="V17" s="2" t="s">
        <v>54</v>
      </c>
      <c r="W17" s="2" t="n">
        <v>42.9</v>
      </c>
      <c r="X17" s="2" t="n">
        <v>18.3</v>
      </c>
      <c r="Y17" s="2" t="s">
        <v>190</v>
      </c>
      <c r="Z17" s="2" t="s">
        <v>191</v>
      </c>
      <c r="AA17" s="2" t="n">
        <v>0.922658353645611</v>
      </c>
      <c r="AB17" s="2" t="n">
        <v>5.12453719636216</v>
      </c>
      <c r="AC17" s="2" t="n">
        <v>4519064.51280253</v>
      </c>
      <c r="AD17" s="2" t="n">
        <v>660034.693611079</v>
      </c>
      <c r="AE17" s="4" t="n">
        <v>6.84670753908182</v>
      </c>
      <c r="AF17" s="4" t="n">
        <v>2.77541038822562</v>
      </c>
      <c r="AG17" s="4" t="s">
        <v>72</v>
      </c>
      <c r="AH17" s="2" t="n">
        <v>0.0320293918669063</v>
      </c>
      <c r="AI17" s="2" t="n">
        <v>0.0791282615261682</v>
      </c>
      <c r="AJ17" s="2" t="n">
        <v>6771974.65318889</v>
      </c>
      <c r="AK17" s="2" t="n">
        <v>1418596.80015786</v>
      </c>
      <c r="AL17" s="2" t="n">
        <v>1397942.92494447</v>
      </c>
      <c r="AM17" s="2" t="n">
        <v>4052545.43527062</v>
      </c>
      <c r="AN17" s="2" t="n">
        <v>8954262.75045082</v>
      </c>
      <c r="AO17" s="2" t="n">
        <v>597906.122659682</v>
      </c>
      <c r="AP17" s="2" t="n">
        <v>668129.214906663</v>
      </c>
      <c r="AQ17" s="2" t="n">
        <v>588310.226656598</v>
      </c>
      <c r="AR17" s="2" t="n">
        <v>662231.847751928</v>
      </c>
      <c r="AS17" s="2" t="n">
        <v>783596.056080522</v>
      </c>
    </row>
    <row r="18">
      <c r="A18" s="2" t="s">
        <v>192</v>
      </c>
      <c r="B18" s="2" t="n">
        <v>613.25945326501</v>
      </c>
      <c r="C18" s="2" t="n">
        <v>6.9917</v>
      </c>
      <c r="D18" s="2" t="s">
        <v>46</v>
      </c>
      <c r="E18" s="2" t="s">
        <v>193</v>
      </c>
      <c r="F18" s="2" t="n">
        <v>202311</v>
      </c>
      <c r="G18" s="5" t="str">
        <f>HYPERLINK("http://funmeta.oebiotech.com/network/202311", "http://funmeta.oebiotech.com/network/202311")</f>
      </c>
      <c r="H18" s="2" t="s">
        <v>194</v>
      </c>
      <c r="I18" s="2"/>
      <c r="J18" s="2"/>
      <c r="K18" s="2"/>
      <c r="L18" s="2"/>
      <c r="M18" s="2"/>
      <c r="N18" s="2"/>
      <c r="O18" s="2" t="n">
        <v>9883029</v>
      </c>
      <c r="P18" s="2"/>
      <c r="Q18" s="2" t="s">
        <v>195</v>
      </c>
      <c r="R18" s="2" t="s">
        <v>196</v>
      </c>
      <c r="S18" s="2" t="s">
        <v>147</v>
      </c>
      <c r="T18" s="2" t="s">
        <v>197</v>
      </c>
      <c r="U18" s="2" t="s">
        <v>198</v>
      </c>
      <c r="V18" s="2" t="s">
        <v>54</v>
      </c>
      <c r="W18" s="2" t="n">
        <v>37.3</v>
      </c>
      <c r="X18" s="2" t="n">
        <v>0.00336</v>
      </c>
      <c r="Y18" s="2" t="s">
        <v>85</v>
      </c>
      <c r="Z18" s="2" t="s">
        <v>199</v>
      </c>
      <c r="AA18" s="2" t="n">
        <v>4.19379769312842</v>
      </c>
      <c r="AB18" s="2" t="n">
        <v>5.07359467807971</v>
      </c>
      <c r="AC18" s="2" t="n">
        <v>182465.209415851</v>
      </c>
      <c r="AD18" s="2" t="n">
        <v>2978265.96896869</v>
      </c>
      <c r="AE18" s="3" t="n">
        <v>0.0612655858533126</v>
      </c>
      <c r="AF18" s="3" t="n">
        <v>-4.02877927997972</v>
      </c>
      <c r="AG18" s="3" t="s">
        <v>57</v>
      </c>
      <c r="AH18" s="2" t="n">
        <v>0.000728253291875544</v>
      </c>
      <c r="AI18" s="2" t="n">
        <v>0.00536800539671785</v>
      </c>
      <c r="AJ18" s="2" t="n">
        <v>631093.524904887</v>
      </c>
      <c r="AK18" s="2" t="n">
        <v>964.968977078709</v>
      </c>
      <c r="AL18" s="2" t="n">
        <v>164378.085073339</v>
      </c>
      <c r="AM18" s="2" t="n">
        <v>115889.468122585</v>
      </c>
      <c r="AN18" s="2" t="n">
        <v>0.00000136409140715624</v>
      </c>
      <c r="AO18" s="2" t="n">
        <v>3608596.45249868</v>
      </c>
      <c r="AP18" s="2" t="n">
        <v>3384213.86688155</v>
      </c>
      <c r="AQ18" s="2" t="n">
        <v>4178025.04172674</v>
      </c>
      <c r="AR18" s="2" t="n">
        <v>1231249.5392678</v>
      </c>
      <c r="AS18" s="2" t="n">
        <v>2489244.94446869</v>
      </c>
    </row>
    <row r="19">
      <c r="A19" s="2" t="s">
        <v>200</v>
      </c>
      <c r="B19" s="2" t="n">
        <v>204.123216545593</v>
      </c>
      <c r="C19" s="2" t="n">
        <v>0.813633333333333</v>
      </c>
      <c r="D19" s="2" t="s">
        <v>59</v>
      </c>
      <c r="E19" s="2" t="s">
        <v>201</v>
      </c>
      <c r="F19" s="2" t="n">
        <v>199471</v>
      </c>
      <c r="G19" s="5" t="str">
        <f>HYPERLINK("http://funmeta.oebiotech.com/network/199471", "http://funmeta.oebiotech.com/network/199471")</f>
      </c>
      <c r="H19" s="2" t="s">
        <v>202</v>
      </c>
      <c r="I19" s="2"/>
      <c r="J19" s="2"/>
      <c r="K19" s="2"/>
      <c r="L19" s="2"/>
      <c r="M19" s="2"/>
      <c r="N19" s="2"/>
      <c r="O19" s="2" t="n">
        <v>114473</v>
      </c>
      <c r="P19" s="2"/>
      <c r="Q19" s="2" t="s">
        <v>203</v>
      </c>
      <c r="R19" s="2" t="s">
        <v>204</v>
      </c>
      <c r="S19" s="2" t="s">
        <v>77</v>
      </c>
      <c r="T19" s="2" t="s">
        <v>77</v>
      </c>
      <c r="U19" s="2" t="s">
        <v>77</v>
      </c>
      <c r="V19" s="2" t="s">
        <v>54</v>
      </c>
      <c r="W19" s="2" t="n">
        <v>45.5</v>
      </c>
      <c r="X19" s="2" t="n">
        <v>30.1</v>
      </c>
      <c r="Y19" s="2" t="s">
        <v>70</v>
      </c>
      <c r="Z19" s="2" t="s">
        <v>179</v>
      </c>
      <c r="AA19" s="2" t="n">
        <v>0.978500438906957</v>
      </c>
      <c r="AB19" s="2" t="n">
        <v>5.07349034605803</v>
      </c>
      <c r="AC19" s="2" t="n">
        <v>3828696.72482855</v>
      </c>
      <c r="AD19" s="2" t="n">
        <v>163227.078516008</v>
      </c>
      <c r="AE19" s="4" t="n">
        <v>23.4562595841171</v>
      </c>
      <c r="AF19" s="4" t="n">
        <v>4.55190106947813</v>
      </c>
      <c r="AG19" s="4" t="s">
        <v>72</v>
      </c>
      <c r="AH19" s="2" t="n">
        <v>0.0319777276811833</v>
      </c>
      <c r="AI19" s="2" t="n">
        <v>0.0791157321929686</v>
      </c>
      <c r="AJ19" s="2" t="n">
        <v>6485033.70258691</v>
      </c>
      <c r="AK19" s="2" t="n">
        <v>863138.031008753</v>
      </c>
      <c r="AL19" s="2" t="n">
        <v>745231.035826061</v>
      </c>
      <c r="AM19" s="2" t="n">
        <v>3423872.4092449</v>
      </c>
      <c r="AN19" s="2" t="n">
        <v>7626208.44547611</v>
      </c>
      <c r="AO19" s="2" t="n">
        <v>74729.2565179798</v>
      </c>
      <c r="AP19" s="2" t="n">
        <v>155352.669828107</v>
      </c>
      <c r="AQ19" s="2" t="n">
        <v>147194.378046586</v>
      </c>
      <c r="AR19" s="2" t="n">
        <v>129321.319514013</v>
      </c>
      <c r="AS19" s="2" t="n">
        <v>309537.768673355</v>
      </c>
    </row>
    <row r="20">
      <c r="A20" s="2" t="s">
        <v>205</v>
      </c>
      <c r="B20" s="2" t="n">
        <v>591.27757161809</v>
      </c>
      <c r="C20" s="2" t="n">
        <v>6.9917</v>
      </c>
      <c r="D20" s="2" t="s">
        <v>46</v>
      </c>
      <c r="E20" s="2" t="s">
        <v>206</v>
      </c>
      <c r="F20" s="2" t="n">
        <v>59110</v>
      </c>
      <c r="G20" s="5" t="str">
        <f>HYPERLINK("http://funmeta.oebiotech.com/network/59110", "http://funmeta.oebiotech.com/network/59110")</f>
      </c>
      <c r="H20" s="2" t="s">
        <v>207</v>
      </c>
      <c r="I20" s="2" t="n">
        <v>90535</v>
      </c>
      <c r="J20" s="2"/>
      <c r="K20" s="2"/>
      <c r="L20" s="2"/>
      <c r="M20" s="2"/>
      <c r="N20" s="2"/>
      <c r="O20" s="2" t="n">
        <v>496348</v>
      </c>
      <c r="P20" s="2" t="s">
        <v>208</v>
      </c>
      <c r="Q20" s="2" t="s">
        <v>209</v>
      </c>
      <c r="R20" s="2" t="s">
        <v>210</v>
      </c>
      <c r="S20" s="2" t="s">
        <v>66</v>
      </c>
      <c r="T20" s="2" t="s">
        <v>211</v>
      </c>
      <c r="U20" s="2" t="s">
        <v>212</v>
      </c>
      <c r="V20" s="2" t="s">
        <v>54</v>
      </c>
      <c r="W20" s="2" t="n">
        <v>37.5</v>
      </c>
      <c r="X20" s="2" t="n">
        <v>0</v>
      </c>
      <c r="Y20" s="2" t="s">
        <v>85</v>
      </c>
      <c r="Z20" s="2" t="s">
        <v>213</v>
      </c>
      <c r="AA20" s="2" t="n">
        <v>3.98298105062635</v>
      </c>
      <c r="AB20" s="2" t="n">
        <v>5.03365449491888</v>
      </c>
      <c r="AC20" s="2" t="n">
        <v>46247.2706112508</v>
      </c>
      <c r="AD20" s="2" t="n">
        <v>3089532.37090555</v>
      </c>
      <c r="AE20" s="3" t="n">
        <v>0.0149690195988125</v>
      </c>
      <c r="AF20" s="3" t="n">
        <v>-6.06187645510179</v>
      </c>
      <c r="AG20" s="3" t="s">
        <v>57</v>
      </c>
      <c r="AH20" s="2" t="n">
        <v>0.0127000258518028</v>
      </c>
      <c r="AI20" s="2" t="n">
        <v>0.0421894282831996</v>
      </c>
      <c r="AJ20" s="2" t="n">
        <v>172325.707931134</v>
      </c>
      <c r="AK20" s="2" t="n">
        <v>0.00000136409140715624</v>
      </c>
      <c r="AL20" s="2" t="n">
        <v>39510.979756104</v>
      </c>
      <c r="AM20" s="2" t="n">
        <v>19399.6653662876</v>
      </c>
      <c r="AN20" s="2" t="n">
        <v>0.00000136409140715624</v>
      </c>
      <c r="AO20" s="2" t="n">
        <v>2858445.77305219</v>
      </c>
      <c r="AP20" s="2" t="n">
        <v>2871218.59033867</v>
      </c>
      <c r="AQ20" s="2" t="n">
        <v>6572424.29362236</v>
      </c>
      <c r="AR20" s="2" t="n">
        <v>770390.54178219</v>
      </c>
      <c r="AS20" s="2" t="n">
        <v>2375182.65573233</v>
      </c>
    </row>
    <row r="21">
      <c r="A21" s="2" t="s">
        <v>214</v>
      </c>
      <c r="B21" s="2" t="n">
        <v>261.144688778625</v>
      </c>
      <c r="C21" s="2" t="n">
        <v>3.0686</v>
      </c>
      <c r="D21" s="2" t="s">
        <v>59</v>
      </c>
      <c r="E21" s="2" t="s">
        <v>215</v>
      </c>
      <c r="F21" s="2" t="n">
        <v>53857</v>
      </c>
      <c r="G21" s="5" t="str">
        <f>HYPERLINK("http://funmeta.oebiotech.com/network/53857", "http://funmeta.oebiotech.com/network/53857")</f>
      </c>
      <c r="H21" s="2" t="s">
        <v>216</v>
      </c>
      <c r="I21" s="2" t="n">
        <v>44684</v>
      </c>
      <c r="J21" s="2"/>
      <c r="K21" s="2" t="n">
        <v>73506</v>
      </c>
      <c r="L21" s="2"/>
      <c r="M21" s="2"/>
      <c r="N21" s="2"/>
      <c r="O21" s="2" t="n">
        <v>9856500</v>
      </c>
      <c r="P21" s="2" t="s">
        <v>217</v>
      </c>
      <c r="Q21" s="2" t="s">
        <v>218</v>
      </c>
      <c r="R21" s="2" t="s">
        <v>219</v>
      </c>
      <c r="S21" s="2" t="s">
        <v>110</v>
      </c>
      <c r="T21" s="2" t="s">
        <v>111</v>
      </c>
      <c r="U21" s="2" t="s">
        <v>112</v>
      </c>
      <c r="V21" s="2" t="s">
        <v>92</v>
      </c>
      <c r="W21" s="2" t="n">
        <v>59.2</v>
      </c>
      <c r="X21" s="2" t="n">
        <v>92.8</v>
      </c>
      <c r="Y21" s="2" t="s">
        <v>220</v>
      </c>
      <c r="Z21" s="2" t="s">
        <v>167</v>
      </c>
      <c r="AA21" s="2" t="n">
        <v>0.732681865587603</v>
      </c>
      <c r="AB21" s="2" t="n">
        <v>4.92773425924878</v>
      </c>
      <c r="AC21" s="2" t="n">
        <v>2052747.93726342</v>
      </c>
      <c r="AD21" s="2" t="n">
        <v>4906987.50008985</v>
      </c>
      <c r="AE21" s="3" t="n">
        <v>0.41833160105377</v>
      </c>
      <c r="AF21" s="3" t="n">
        <v>-1.25728111062394</v>
      </c>
      <c r="AG21" s="3" t="s">
        <v>57</v>
      </c>
      <c r="AH21" s="2" t="n">
        <v>0.00202252937315923</v>
      </c>
      <c r="AI21" s="2" t="n">
        <v>0.0111812872151059</v>
      </c>
      <c r="AJ21" s="2" t="n">
        <v>1874896.98022301</v>
      </c>
      <c r="AK21" s="2" t="n">
        <v>3166866.09156211</v>
      </c>
      <c r="AL21" s="2" t="n">
        <v>3075261.55148859</v>
      </c>
      <c r="AM21" s="2" t="n">
        <v>1882237.55125932</v>
      </c>
      <c r="AN21" s="2" t="n">
        <v>264477.511784086</v>
      </c>
      <c r="AO21" s="2" t="n">
        <v>4720436.9687216</v>
      </c>
      <c r="AP21" s="2" t="n">
        <v>4440210.53178944</v>
      </c>
      <c r="AQ21" s="2" t="n">
        <v>5415076.48656456</v>
      </c>
      <c r="AR21" s="2" t="n">
        <v>3977896.91012508</v>
      </c>
      <c r="AS21" s="2" t="n">
        <v>5981316.60324855</v>
      </c>
    </row>
    <row r="22">
      <c r="A22" s="2" t="s">
        <v>221</v>
      </c>
      <c r="B22" s="2" t="n">
        <v>581.293108854997</v>
      </c>
      <c r="C22" s="2" t="n">
        <v>6.869</v>
      </c>
      <c r="D22" s="2" t="s">
        <v>46</v>
      </c>
      <c r="E22" s="2" t="s">
        <v>222</v>
      </c>
      <c r="F22" s="2" t="n">
        <v>64899</v>
      </c>
      <c r="G22" s="5" t="str">
        <f>HYPERLINK("http://funmeta.oebiotech.com/network/64899", "http://funmeta.oebiotech.com/network/64899")</f>
      </c>
      <c r="H22" s="2" t="s">
        <v>223</v>
      </c>
      <c r="I22" s="2" t="n">
        <v>1727</v>
      </c>
      <c r="J22" s="2"/>
      <c r="K22" s="2"/>
      <c r="L22" s="2"/>
      <c r="M22" s="2"/>
      <c r="N22" s="2"/>
      <c r="O22" s="2" t="n">
        <v>95478</v>
      </c>
      <c r="P22" s="2" t="s">
        <v>224</v>
      </c>
      <c r="Q22" s="2" t="s">
        <v>225</v>
      </c>
      <c r="R22" s="2" t="s">
        <v>226</v>
      </c>
      <c r="S22" s="2" t="s">
        <v>51</v>
      </c>
      <c r="T22" s="2" t="s">
        <v>227</v>
      </c>
      <c r="U22" s="2" t="s">
        <v>228</v>
      </c>
      <c r="V22" s="2" t="s">
        <v>69</v>
      </c>
      <c r="W22" s="2" t="n">
        <v>45.1</v>
      </c>
      <c r="X22" s="2" t="n">
        <v>52.2</v>
      </c>
      <c r="Y22" s="2" t="s">
        <v>85</v>
      </c>
      <c r="Z22" s="2" t="s">
        <v>229</v>
      </c>
      <c r="AA22" s="2" t="n">
        <v>-0.11257570430497</v>
      </c>
      <c r="AB22" s="2" t="n">
        <v>4.80592898820215</v>
      </c>
      <c r="AC22" s="2" t="n">
        <v>96861.7879280653</v>
      </c>
      <c r="AD22" s="2" t="n">
        <v>2743875.97649751</v>
      </c>
      <c r="AE22" s="3" t="n">
        <v>0.0353010809372321</v>
      </c>
      <c r="AF22" s="3" t="n">
        <v>-4.82414382953866</v>
      </c>
      <c r="AG22" s="3" t="s">
        <v>57</v>
      </c>
      <c r="AH22" s="2" t="n">
        <v>0.00821815903134245</v>
      </c>
      <c r="AI22" s="2" t="n">
        <v>0.031511196702813</v>
      </c>
      <c r="AJ22" s="2" t="n">
        <v>411984.813825239</v>
      </c>
      <c r="AK22" s="2" t="n">
        <v>116.626373316594</v>
      </c>
      <c r="AL22" s="2" t="n">
        <v>70247.0757195466</v>
      </c>
      <c r="AM22" s="2" t="n">
        <v>1960.42372086031</v>
      </c>
      <c r="AN22" s="2" t="n">
        <v>0.00000136409140715624</v>
      </c>
      <c r="AO22" s="2" t="n">
        <v>5090971.62697132</v>
      </c>
      <c r="AP22" s="2" t="n">
        <v>2992158.18961602</v>
      </c>
      <c r="AQ22" s="2" t="n">
        <v>2875294.56991011</v>
      </c>
      <c r="AR22" s="2" t="n">
        <v>360010.345674425</v>
      </c>
      <c r="AS22" s="2" t="n">
        <v>2400945.15031569</v>
      </c>
    </row>
    <row r="23">
      <c r="A23" s="2" t="s">
        <v>230</v>
      </c>
      <c r="B23" s="2" t="n">
        <v>231.170576568514</v>
      </c>
      <c r="C23" s="2" t="n">
        <v>3.81913333333333</v>
      </c>
      <c r="D23" s="2" t="s">
        <v>59</v>
      </c>
      <c r="E23" s="2" t="s">
        <v>231</v>
      </c>
      <c r="F23" s="2" t="n">
        <v>54142</v>
      </c>
      <c r="G23" s="5" t="str">
        <f>HYPERLINK("http://funmeta.oebiotech.com/network/54142", "http://funmeta.oebiotech.com/network/54142")</f>
      </c>
      <c r="H23" s="2" t="s">
        <v>232</v>
      </c>
      <c r="I23" s="2" t="n">
        <v>23950</v>
      </c>
      <c r="J23" s="2"/>
      <c r="K23" s="2" t="n">
        <v>75013</v>
      </c>
      <c r="L23" s="2"/>
      <c r="M23" s="2"/>
      <c r="N23" s="2"/>
      <c r="O23" s="2" t="n">
        <v>6993117</v>
      </c>
      <c r="P23" s="2" t="s">
        <v>233</v>
      </c>
      <c r="Q23" s="2" t="s">
        <v>234</v>
      </c>
      <c r="R23" s="2" t="s">
        <v>235</v>
      </c>
      <c r="S23" s="2" t="s">
        <v>110</v>
      </c>
      <c r="T23" s="2" t="s">
        <v>111</v>
      </c>
      <c r="U23" s="2" t="s">
        <v>112</v>
      </c>
      <c r="V23" s="2" t="s">
        <v>92</v>
      </c>
      <c r="W23" s="2" t="n">
        <v>55.4</v>
      </c>
      <c r="X23" s="2" t="n">
        <v>69.9</v>
      </c>
      <c r="Y23" s="2" t="s">
        <v>236</v>
      </c>
      <c r="Z23" s="2" t="s">
        <v>237</v>
      </c>
      <c r="AA23" s="2" t="n">
        <v>1.11904452890409</v>
      </c>
      <c r="AB23" s="2" t="n">
        <v>4.68242070887597</v>
      </c>
      <c r="AC23" s="2" t="n">
        <v>2317933.89184276</v>
      </c>
      <c r="AD23" s="2" t="n">
        <v>5048973.34690434</v>
      </c>
      <c r="AE23" s="3" t="n">
        <v>0.459090142209593</v>
      </c>
      <c r="AF23" s="3" t="n">
        <v>-1.12315064070252</v>
      </c>
      <c r="AG23" s="3" t="s">
        <v>57</v>
      </c>
      <c r="AH23" s="2" t="n">
        <v>0.00904458043985255</v>
      </c>
      <c r="AI23" s="2" t="n">
        <v>0.0336089038538592</v>
      </c>
      <c r="AJ23" s="2" t="n">
        <v>1307321.49470453</v>
      </c>
      <c r="AK23" s="2" t="n">
        <v>4052280.53338897</v>
      </c>
      <c r="AL23" s="2" t="n">
        <v>3920833.81839988</v>
      </c>
      <c r="AM23" s="2" t="n">
        <v>2147984.23420169</v>
      </c>
      <c r="AN23" s="2" t="n">
        <v>161249.378518723</v>
      </c>
      <c r="AO23" s="2" t="n">
        <v>4920954.93041519</v>
      </c>
      <c r="AP23" s="2" t="n">
        <v>4949472.25210813</v>
      </c>
      <c r="AQ23" s="2" t="n">
        <v>5538720.07759869</v>
      </c>
      <c r="AR23" s="2" t="n">
        <v>4159501.96930674</v>
      </c>
      <c r="AS23" s="2" t="n">
        <v>5676217.50509296</v>
      </c>
    </row>
    <row r="24">
      <c r="A24" s="2" t="s">
        <v>238</v>
      </c>
      <c r="B24" s="2" t="n">
        <v>404.135571761065</v>
      </c>
      <c r="C24" s="2" t="n">
        <v>6.25791666666667</v>
      </c>
      <c r="D24" s="2" t="s">
        <v>46</v>
      </c>
      <c r="E24" s="2" t="s">
        <v>239</v>
      </c>
      <c r="F24" s="2" t="n">
        <v>209896</v>
      </c>
      <c r="G24" s="5" t="str">
        <f>HYPERLINK("http://funmeta.oebiotech.com/network/209896", "http://funmeta.oebiotech.com/network/209896")</f>
      </c>
      <c r="H24" s="2" t="s">
        <v>240</v>
      </c>
      <c r="I24" s="2"/>
      <c r="J24" s="2"/>
      <c r="K24" s="2"/>
      <c r="L24" s="2"/>
      <c r="M24" s="2"/>
      <c r="N24" s="2"/>
      <c r="O24" s="2"/>
      <c r="P24" s="2"/>
      <c r="Q24" s="2" t="s">
        <v>241</v>
      </c>
      <c r="R24" s="2" t="s">
        <v>242</v>
      </c>
      <c r="S24" s="2" t="s">
        <v>77</v>
      </c>
      <c r="T24" s="2" t="s">
        <v>77</v>
      </c>
      <c r="U24" s="2" t="s">
        <v>77</v>
      </c>
      <c r="V24" s="2" t="s">
        <v>54</v>
      </c>
      <c r="W24" s="2" t="n">
        <v>39.7</v>
      </c>
      <c r="X24" s="2" t="n">
        <v>4.93</v>
      </c>
      <c r="Y24" s="2" t="s">
        <v>131</v>
      </c>
      <c r="Z24" s="2" t="s">
        <v>243</v>
      </c>
      <c r="AA24" s="2" t="n">
        <v>1.34070169885718</v>
      </c>
      <c r="AB24" s="2" t="n">
        <v>4.62832628933069</v>
      </c>
      <c r="AC24" s="2" t="n">
        <v>580700.939168877</v>
      </c>
      <c r="AD24" s="2" t="n">
        <v>3170187.0446373</v>
      </c>
      <c r="AE24" s="3" t="n">
        <v>0.18317560793493</v>
      </c>
      <c r="AF24" s="3" t="n">
        <v>-2.44870069109344</v>
      </c>
      <c r="AG24" s="3" t="s">
        <v>57</v>
      </c>
      <c r="AH24" s="2" t="n">
        <v>0.000173305084744873</v>
      </c>
      <c r="AI24" s="2" t="n">
        <v>0.00202306786425797</v>
      </c>
      <c r="AJ24" s="2" t="n">
        <v>587980.541726798</v>
      </c>
      <c r="AK24" s="2" t="n">
        <v>305486.125265565</v>
      </c>
      <c r="AL24" s="2" t="n">
        <v>1107531.83358142</v>
      </c>
      <c r="AM24" s="2" t="n">
        <v>820909.635123561</v>
      </c>
      <c r="AN24" s="2" t="n">
        <v>81596.5601470406</v>
      </c>
      <c r="AO24" s="2" t="n">
        <v>3412064.37226431</v>
      </c>
      <c r="AP24" s="2" t="n">
        <v>3586656.68761427</v>
      </c>
      <c r="AQ24" s="2" t="n">
        <v>1986255.19590975</v>
      </c>
      <c r="AR24" s="2" t="n">
        <v>4010622.18093231</v>
      </c>
      <c r="AS24" s="2" t="n">
        <v>2855336.78646588</v>
      </c>
    </row>
    <row r="25">
      <c r="A25" s="2" t="s">
        <v>244</v>
      </c>
      <c r="B25" s="2" t="n">
        <v>229.154976742645</v>
      </c>
      <c r="C25" s="2" t="n">
        <v>3.69355</v>
      </c>
      <c r="D25" s="2" t="s">
        <v>59</v>
      </c>
      <c r="E25" s="2" t="s">
        <v>245</v>
      </c>
      <c r="F25" s="2" t="n">
        <v>266181</v>
      </c>
      <c r="G25" s="5" t="str">
        <f>HYPERLINK("http://funmeta.oebiotech.com/network/266181", "http://funmeta.oebiotech.com/network/266181")</f>
      </c>
      <c r="H25" s="2"/>
      <c r="I25" s="2" t="n">
        <v>23879</v>
      </c>
      <c r="J25" s="2"/>
      <c r="K25" s="2"/>
      <c r="L25" s="2"/>
      <c r="M25" s="2"/>
      <c r="N25" s="2"/>
      <c r="O25" s="2" t="n">
        <v>104014</v>
      </c>
      <c r="P25" s="2"/>
      <c r="Q25" s="2" t="s">
        <v>246</v>
      </c>
      <c r="R25" s="2" t="s">
        <v>247</v>
      </c>
      <c r="S25" s="2" t="s">
        <v>110</v>
      </c>
      <c r="T25" s="2" t="s">
        <v>111</v>
      </c>
      <c r="U25" s="2" t="s">
        <v>112</v>
      </c>
      <c r="V25" s="2" t="s">
        <v>92</v>
      </c>
      <c r="W25" s="2" t="n">
        <v>53.7</v>
      </c>
      <c r="X25" s="2" t="n">
        <v>55.6</v>
      </c>
      <c r="Y25" s="2" t="s">
        <v>248</v>
      </c>
      <c r="Z25" s="2" t="s">
        <v>249</v>
      </c>
      <c r="AA25" s="2" t="n">
        <v>1.3491320764877</v>
      </c>
      <c r="AB25" s="2" t="n">
        <v>4.59734646357679</v>
      </c>
      <c r="AC25" s="2" t="n">
        <v>1104435.67108968</v>
      </c>
      <c r="AD25" s="2" t="n">
        <v>3933560.23979243</v>
      </c>
      <c r="AE25" s="3" t="n">
        <v>0.280772532708934</v>
      </c>
      <c r="AF25" s="3" t="n">
        <v>-1.83252628767383</v>
      </c>
      <c r="AG25" s="3" t="s">
        <v>57</v>
      </c>
      <c r="AH25" s="2" t="n">
        <v>0.0340046059040023</v>
      </c>
      <c r="AI25" s="2" t="n">
        <v>0.0825617756763756</v>
      </c>
      <c r="AJ25" s="2" t="n">
        <v>1005820.71951708</v>
      </c>
      <c r="AK25" s="2" t="n">
        <v>1635377.7957933</v>
      </c>
      <c r="AL25" s="2" t="n">
        <v>1366300.20349349</v>
      </c>
      <c r="AM25" s="2" t="n">
        <v>1094583.18247383</v>
      </c>
      <c r="AN25" s="2" t="n">
        <v>420096.454170716</v>
      </c>
      <c r="AO25" s="2" t="n">
        <v>2492968.58641242</v>
      </c>
      <c r="AP25" s="2" t="n">
        <v>2265885.63897374</v>
      </c>
      <c r="AQ25" s="2" t="n">
        <v>7769807.5715445</v>
      </c>
      <c r="AR25" s="2" t="n">
        <v>2175035.24724249</v>
      </c>
      <c r="AS25" s="2" t="n">
        <v>4964104.15478898</v>
      </c>
    </row>
    <row r="26">
      <c r="A26" s="2" t="s">
        <v>250</v>
      </c>
      <c r="B26" s="2" t="n">
        <v>124.087194526054</v>
      </c>
      <c r="C26" s="2" t="n">
        <v>14.4480333333333</v>
      </c>
      <c r="D26" s="2" t="s">
        <v>59</v>
      </c>
      <c r="E26" s="2" t="s">
        <v>251</v>
      </c>
      <c r="F26" s="2" t="n">
        <v>200666</v>
      </c>
      <c r="G26" s="5" t="str">
        <f>HYPERLINK("http://funmeta.oebiotech.com/network/200666", "http://funmeta.oebiotech.com/network/200666")</f>
      </c>
      <c r="H26" s="2" t="s">
        <v>252</v>
      </c>
      <c r="I26" s="2"/>
      <c r="J26" s="2"/>
      <c r="K26" s="2"/>
      <c r="L26" s="2"/>
      <c r="M26" s="2"/>
      <c r="N26" s="2"/>
      <c r="O26" s="2" t="n">
        <v>74080</v>
      </c>
      <c r="P26" s="2"/>
      <c r="Q26" s="2" t="s">
        <v>253</v>
      </c>
      <c r="R26" s="2" t="s">
        <v>254</v>
      </c>
      <c r="S26" s="2" t="s">
        <v>255</v>
      </c>
      <c r="T26" s="2" t="s">
        <v>256</v>
      </c>
      <c r="U26" s="2" t="s">
        <v>257</v>
      </c>
      <c r="V26" s="2" t="s">
        <v>54</v>
      </c>
      <c r="W26" s="2" t="n">
        <v>39.9</v>
      </c>
      <c r="X26" s="2" t="n">
        <v>8.58</v>
      </c>
      <c r="Y26" s="2" t="s">
        <v>78</v>
      </c>
      <c r="Z26" s="2" t="s">
        <v>258</v>
      </c>
      <c r="AA26" s="2" t="n">
        <v>2.55338164062899</v>
      </c>
      <c r="AB26" s="2" t="n">
        <v>4.59579217292146</v>
      </c>
      <c r="AC26" s="2" t="n">
        <v>4194432.5307218</v>
      </c>
      <c r="AD26" s="2" t="n">
        <v>743246.614960624</v>
      </c>
      <c r="AE26" s="4" t="n">
        <v>5.64339271285348</v>
      </c>
      <c r="AF26" s="4" t="n">
        <v>2.49656274745089</v>
      </c>
      <c r="AG26" s="4" t="s">
        <v>72</v>
      </c>
      <c r="AH26" s="2" t="n">
        <v>0.0488036614587515</v>
      </c>
      <c r="AI26" s="2" t="n">
        <v>0.102652353247769</v>
      </c>
      <c r="AJ26" s="2" t="n">
        <v>5660825.26262656</v>
      </c>
      <c r="AK26" s="2" t="n">
        <v>1343521.72295713</v>
      </c>
      <c r="AL26" s="2" t="n">
        <v>1128703.59730045</v>
      </c>
      <c r="AM26" s="2" t="n">
        <v>3720438.99783149</v>
      </c>
      <c r="AN26" s="2" t="n">
        <v>9118673.07289337</v>
      </c>
      <c r="AO26" s="2" t="n">
        <v>649036.997491596</v>
      </c>
      <c r="AP26" s="2" t="n">
        <v>692213.861519294</v>
      </c>
      <c r="AQ26" s="2" t="n">
        <v>652883.920004895</v>
      </c>
      <c r="AR26" s="2" t="n">
        <v>821460.603862679</v>
      </c>
      <c r="AS26" s="2" t="n">
        <v>900637.691924656</v>
      </c>
    </row>
    <row r="27">
      <c r="A27" s="2" t="s">
        <v>259</v>
      </c>
      <c r="B27" s="2" t="n">
        <v>315.134968373559</v>
      </c>
      <c r="C27" s="2" t="n">
        <v>4.24228333333333</v>
      </c>
      <c r="D27" s="2" t="s">
        <v>59</v>
      </c>
      <c r="E27" s="2" t="s">
        <v>260</v>
      </c>
      <c r="F27" s="2" t="n">
        <v>6398</v>
      </c>
      <c r="G27" s="5" t="str">
        <f>HYPERLINK("http://funmeta.oebiotech.com/network/6398", "http://funmeta.oebiotech.com/network/6398")</f>
      </c>
      <c r="H27" s="2" t="s">
        <v>261</v>
      </c>
      <c r="I27" s="2" t="n">
        <v>95622</v>
      </c>
      <c r="J27" s="2" t="s">
        <v>262</v>
      </c>
      <c r="K27" s="2"/>
      <c r="L27" s="2"/>
      <c r="M27" s="2"/>
      <c r="N27" s="2"/>
      <c r="O27" s="2" t="n">
        <v>9970687</v>
      </c>
      <c r="P27" s="2" t="s">
        <v>263</v>
      </c>
      <c r="Q27" s="2" t="s">
        <v>264</v>
      </c>
      <c r="R27" s="2" t="s">
        <v>265</v>
      </c>
      <c r="S27" s="2" t="s">
        <v>66</v>
      </c>
      <c r="T27" s="2" t="s">
        <v>67</v>
      </c>
      <c r="U27" s="2" t="s">
        <v>266</v>
      </c>
      <c r="V27" s="2" t="s">
        <v>54</v>
      </c>
      <c r="W27" s="2" t="n">
        <v>43.7</v>
      </c>
      <c r="X27" s="2" t="n">
        <v>28.6</v>
      </c>
      <c r="Y27" s="2" t="s">
        <v>267</v>
      </c>
      <c r="Z27" s="2" t="s">
        <v>268</v>
      </c>
      <c r="AA27" s="2" t="n">
        <v>-2.65897105152675</v>
      </c>
      <c r="AB27" s="2" t="n">
        <v>4.56910481815585</v>
      </c>
      <c r="AC27" s="2" t="n">
        <v>2747630.44891067</v>
      </c>
      <c r="AD27" s="2" t="n">
        <v>178328.597213076</v>
      </c>
      <c r="AE27" s="4" t="n">
        <v>15.407682737658</v>
      </c>
      <c r="AF27" s="4" t="n">
        <v>3.94557799669644</v>
      </c>
      <c r="AG27" s="4" t="s">
        <v>72</v>
      </c>
      <c r="AH27" s="2" t="n">
        <v>0.0179996870783179</v>
      </c>
      <c r="AI27" s="2" t="n">
        <v>0.0538428618065048</v>
      </c>
      <c r="AJ27" s="2" t="n">
        <v>5142766.93050938</v>
      </c>
      <c r="AK27" s="2" t="n">
        <v>724781.580288018</v>
      </c>
      <c r="AL27" s="2" t="n">
        <v>847400.151828739</v>
      </c>
      <c r="AM27" s="2" t="n">
        <v>3101757.49067733</v>
      </c>
      <c r="AN27" s="2" t="n">
        <v>3921446.0912499</v>
      </c>
      <c r="AO27" s="2" t="n">
        <v>98398.6219441617</v>
      </c>
      <c r="AP27" s="2" t="n">
        <v>397848.355278479</v>
      </c>
      <c r="AQ27" s="2" t="n">
        <v>46171.3455641051</v>
      </c>
      <c r="AR27" s="2" t="n">
        <v>169370.844070956</v>
      </c>
      <c r="AS27" s="2" t="n">
        <v>179853.819207676</v>
      </c>
    </row>
    <row r="28">
      <c r="A28" s="2" t="s">
        <v>269</v>
      </c>
      <c r="B28" s="2" t="n">
        <v>623.243886299886</v>
      </c>
      <c r="C28" s="2" t="n">
        <v>6.9395</v>
      </c>
      <c r="D28" s="2" t="s">
        <v>46</v>
      </c>
      <c r="E28" s="2" t="s">
        <v>270</v>
      </c>
      <c r="F28" s="2" t="n">
        <v>209522</v>
      </c>
      <c r="G28" s="5" t="str">
        <f>HYPERLINK("http://funmeta.oebiotech.com/network/209522", "http://funmeta.oebiotech.com/network/209522")</f>
      </c>
      <c r="H28" s="2" t="s">
        <v>271</v>
      </c>
      <c r="I28" s="2"/>
      <c r="J28" s="2"/>
      <c r="K28" s="2" t="n">
        <v>85155</v>
      </c>
      <c r="L28" s="2"/>
      <c r="M28" s="2"/>
      <c r="N28" s="2"/>
      <c r="O28" s="2"/>
      <c r="P28" s="2"/>
      <c r="Q28" s="2" t="s">
        <v>272</v>
      </c>
      <c r="R28" s="2" t="s">
        <v>273</v>
      </c>
      <c r="S28" s="2" t="s">
        <v>51</v>
      </c>
      <c r="T28" s="2" t="s">
        <v>274</v>
      </c>
      <c r="U28" s="2" t="s">
        <v>275</v>
      </c>
      <c r="V28" s="2" t="s">
        <v>54</v>
      </c>
      <c r="W28" s="2" t="n">
        <v>37.6</v>
      </c>
      <c r="X28" s="2" t="n">
        <v>0</v>
      </c>
      <c r="Y28" s="2" t="s">
        <v>131</v>
      </c>
      <c r="Z28" s="2" t="s">
        <v>276</v>
      </c>
      <c r="AA28" s="2" t="n">
        <v>-4.05977191068468</v>
      </c>
      <c r="AB28" s="2" t="n">
        <v>4.39624399696856</v>
      </c>
      <c r="AC28" s="2" t="n">
        <v>9280.15054800767</v>
      </c>
      <c r="AD28" s="2" t="n">
        <v>2255936.50671187</v>
      </c>
      <c r="AE28" s="3" t="n">
        <v>0.00411365768513313</v>
      </c>
      <c r="AF28" s="3" t="n">
        <v>-7.92536253856497</v>
      </c>
      <c r="AG28" s="3" t="s">
        <v>57</v>
      </c>
      <c r="AH28" s="2" t="n">
        <v>0.00580524303692291</v>
      </c>
      <c r="AI28" s="2" t="n">
        <v>0.024669125595626</v>
      </c>
      <c r="AJ28" s="2" t="n">
        <v>8701.50211416434</v>
      </c>
      <c r="AK28" s="2" t="n">
        <v>0.00000136409140715624</v>
      </c>
      <c r="AL28" s="2" t="n">
        <v>9065.63446439065</v>
      </c>
      <c r="AM28" s="2" t="n">
        <v>28633.6161587552</v>
      </c>
      <c r="AN28" s="2" t="n">
        <v>0.00000136409140715624</v>
      </c>
      <c r="AO28" s="2" t="n">
        <v>1819132.26502116</v>
      </c>
      <c r="AP28" s="2" t="n">
        <v>3073715.11148753</v>
      </c>
      <c r="AQ28" s="2" t="n">
        <v>3920102.55827657</v>
      </c>
      <c r="AR28" s="2" t="n">
        <v>354974.539049814</v>
      </c>
      <c r="AS28" s="2" t="n">
        <v>2111758.05972429</v>
      </c>
    </row>
    <row r="29">
      <c r="A29" s="2" t="s">
        <v>277</v>
      </c>
      <c r="B29" s="2" t="n">
        <v>599.243947583601</v>
      </c>
      <c r="C29" s="2" t="n">
        <v>6.9395</v>
      </c>
      <c r="D29" s="2" t="s">
        <v>46</v>
      </c>
      <c r="E29" s="2" t="s">
        <v>278</v>
      </c>
      <c r="F29" s="2" t="n">
        <v>202098</v>
      </c>
      <c r="G29" s="5" t="str">
        <f>HYPERLINK("http://funmeta.oebiotech.com/network/202098", "http://funmeta.oebiotech.com/network/202098")</f>
      </c>
      <c r="H29" s="2" t="s">
        <v>279</v>
      </c>
      <c r="I29" s="2" t="n">
        <v>2250</v>
      </c>
      <c r="J29" s="2"/>
      <c r="K29" s="2" t="n">
        <v>132051</v>
      </c>
      <c r="L29" s="2"/>
      <c r="M29" s="2"/>
      <c r="N29" s="2"/>
      <c r="O29" s="2" t="n">
        <v>163116</v>
      </c>
      <c r="P29" s="2" t="s">
        <v>280</v>
      </c>
      <c r="Q29" s="2" t="s">
        <v>281</v>
      </c>
      <c r="R29" s="2" t="s">
        <v>282</v>
      </c>
      <c r="S29" s="2" t="s">
        <v>255</v>
      </c>
      <c r="T29" s="2" t="s">
        <v>256</v>
      </c>
      <c r="U29" s="2" t="s">
        <v>283</v>
      </c>
      <c r="V29" s="2" t="s">
        <v>54</v>
      </c>
      <c r="W29" s="2" t="n">
        <v>37.2</v>
      </c>
      <c r="X29" s="2" t="n">
        <v>0</v>
      </c>
      <c r="Y29" s="2" t="s">
        <v>85</v>
      </c>
      <c r="Z29" s="2" t="s">
        <v>284</v>
      </c>
      <c r="AA29" s="2" t="n">
        <v>0.00162772079063627</v>
      </c>
      <c r="AB29" s="2" t="n">
        <v>4.3543607151904</v>
      </c>
      <c r="AC29" s="2" t="n">
        <v>5438.58098339929</v>
      </c>
      <c r="AD29" s="2" t="n">
        <v>2460114.13245274</v>
      </c>
      <c r="AE29" s="3" t="n">
        <v>0.00221070271157582</v>
      </c>
      <c r="AF29" s="3" t="n">
        <v>-8.82127925560578</v>
      </c>
      <c r="AG29" s="3" t="s">
        <v>57</v>
      </c>
      <c r="AH29" s="2" t="n">
        <v>0.016161353572342</v>
      </c>
      <c r="AI29" s="2" t="n">
        <v>0.0498975405342066</v>
      </c>
      <c r="AJ29" s="2" t="n">
        <v>4390.11801866189</v>
      </c>
      <c r="AK29" s="2" t="n">
        <v>79.109068073864</v>
      </c>
      <c r="AL29" s="2" t="n">
        <v>22723.6778275325</v>
      </c>
      <c r="AM29" s="2" t="n">
        <v>0.00000136409140715624</v>
      </c>
      <c r="AN29" s="2" t="n">
        <v>0.00000136409140715624</v>
      </c>
      <c r="AO29" s="2" t="n">
        <v>2772737.8999874</v>
      </c>
      <c r="AP29" s="2" t="n">
        <v>4502892.33037542</v>
      </c>
      <c r="AQ29" s="2" t="n">
        <v>3800780.45667503</v>
      </c>
      <c r="AR29" s="2" t="n">
        <v>316019.296985364</v>
      </c>
      <c r="AS29" s="2" t="n">
        <v>908140.678240512</v>
      </c>
    </row>
    <row r="30">
      <c r="A30" s="2" t="s">
        <v>285</v>
      </c>
      <c r="B30" s="2" t="n">
        <v>245.113766268262</v>
      </c>
      <c r="C30" s="2" t="n">
        <v>1.09676666666667</v>
      </c>
      <c r="D30" s="2" t="s">
        <v>46</v>
      </c>
      <c r="E30" s="2" t="s">
        <v>286</v>
      </c>
      <c r="F30" s="2" t="n">
        <v>53927</v>
      </c>
      <c r="G30" s="5" t="str">
        <f>HYPERLINK("http://funmeta.oebiotech.com/network/53927", "http://funmeta.oebiotech.com/network/53927")</f>
      </c>
      <c r="H30" s="2" t="s">
        <v>287</v>
      </c>
      <c r="I30" s="2" t="n">
        <v>85809</v>
      </c>
      <c r="J30" s="2"/>
      <c r="K30" s="2"/>
      <c r="L30" s="2"/>
      <c r="M30" s="2"/>
      <c r="N30" s="2"/>
      <c r="O30" s="2" t="n">
        <v>14304554</v>
      </c>
      <c r="P30" s="2"/>
      <c r="Q30" s="2" t="s">
        <v>288</v>
      </c>
      <c r="R30" s="2" t="s">
        <v>289</v>
      </c>
      <c r="S30" s="2" t="s">
        <v>110</v>
      </c>
      <c r="T30" s="2" t="s">
        <v>111</v>
      </c>
      <c r="U30" s="2" t="s">
        <v>112</v>
      </c>
      <c r="V30" s="2" t="s">
        <v>54</v>
      </c>
      <c r="W30" s="2" t="n">
        <v>47.3</v>
      </c>
      <c r="X30" s="2" t="n">
        <v>40.4</v>
      </c>
      <c r="Y30" s="2" t="s">
        <v>290</v>
      </c>
      <c r="Z30" s="2" t="s">
        <v>291</v>
      </c>
      <c r="AA30" s="2" t="n">
        <v>-2.14928091997671</v>
      </c>
      <c r="AB30" s="2" t="n">
        <v>4.24235752535893</v>
      </c>
      <c r="AC30" s="2" t="n">
        <v>389291.991039439</v>
      </c>
      <c r="AD30" s="2" t="n">
        <v>2374234.09099698</v>
      </c>
      <c r="AE30" s="3" t="n">
        <v>0.163965294119743</v>
      </c>
      <c r="AF30" s="3" t="n">
        <v>-2.60853761723926</v>
      </c>
      <c r="AG30" s="3" t="s">
        <v>57</v>
      </c>
      <c r="AH30" s="2" t="n">
        <v>0.000645288433192924</v>
      </c>
      <c r="AI30" s="2" t="n">
        <v>0.00491089638767602</v>
      </c>
      <c r="AJ30" s="2" t="n">
        <v>136716.51128145</v>
      </c>
      <c r="AK30" s="2" t="n">
        <v>773270.413045576</v>
      </c>
      <c r="AL30" s="2" t="n">
        <v>791436.930077086</v>
      </c>
      <c r="AM30" s="2" t="n">
        <v>237230.105283676</v>
      </c>
      <c r="AN30" s="2" t="n">
        <v>7805.99550940791</v>
      </c>
      <c r="AO30" s="2" t="n">
        <v>1618639.74226714</v>
      </c>
      <c r="AP30" s="2" t="n">
        <v>2385976.93168645</v>
      </c>
      <c r="AQ30" s="2" t="n">
        <v>2930927.61903912</v>
      </c>
      <c r="AR30" s="2" t="n">
        <v>1673681.12577237</v>
      </c>
      <c r="AS30" s="2" t="n">
        <v>3261945.0362198</v>
      </c>
    </row>
    <row r="31">
      <c r="A31" s="2" t="s">
        <v>292</v>
      </c>
      <c r="B31" s="2" t="n">
        <v>219.134182663994</v>
      </c>
      <c r="C31" s="2" t="n">
        <v>2.44371666666667</v>
      </c>
      <c r="D31" s="2" t="s">
        <v>59</v>
      </c>
      <c r="E31" s="2" t="s">
        <v>293</v>
      </c>
      <c r="F31" s="2" t="n">
        <v>211803</v>
      </c>
      <c r="G31" s="5" t="str">
        <f>HYPERLINK("http://funmeta.oebiotech.com/network/211803", "http://funmeta.oebiotech.com/network/211803")</f>
      </c>
      <c r="H31" s="2" t="s">
        <v>294</v>
      </c>
      <c r="I31" s="2"/>
      <c r="J31" s="2"/>
      <c r="K31" s="2"/>
      <c r="L31" s="2"/>
      <c r="M31" s="2"/>
      <c r="N31" s="2"/>
      <c r="O31" s="2"/>
      <c r="P31" s="2"/>
      <c r="Q31" s="2" t="s">
        <v>295</v>
      </c>
      <c r="R31" s="2" t="s">
        <v>296</v>
      </c>
      <c r="S31" s="2" t="s">
        <v>110</v>
      </c>
      <c r="T31" s="2" t="s">
        <v>111</v>
      </c>
      <c r="U31" s="2" t="s">
        <v>112</v>
      </c>
      <c r="V31" s="2" t="s">
        <v>92</v>
      </c>
      <c r="W31" s="2" t="n">
        <v>60</v>
      </c>
      <c r="X31" s="2" t="n">
        <v>90.6</v>
      </c>
      <c r="Y31" s="2" t="s">
        <v>297</v>
      </c>
      <c r="Z31" s="2" t="s">
        <v>298</v>
      </c>
      <c r="AA31" s="2" t="n">
        <v>1.14230373052943</v>
      </c>
      <c r="AB31" s="2" t="n">
        <v>4.21225547690074</v>
      </c>
      <c r="AC31" s="2" t="n">
        <v>1586739.92664912</v>
      </c>
      <c r="AD31" s="2" t="n">
        <v>3688682.25380648</v>
      </c>
      <c r="AE31" s="3" t="n">
        <v>0.430164437452347</v>
      </c>
      <c r="AF31" s="3" t="n">
        <v>-1.21703983565838</v>
      </c>
      <c r="AG31" s="3" t="s">
        <v>57</v>
      </c>
      <c r="AH31" s="2" t="n">
        <v>0.00268640804980077</v>
      </c>
      <c r="AI31" s="2" t="n">
        <v>0.0137728356708946</v>
      </c>
      <c r="AJ31" s="2" t="n">
        <v>1435371.91956357</v>
      </c>
      <c r="AK31" s="2" t="n">
        <v>2234053.34015553</v>
      </c>
      <c r="AL31" s="2" t="n">
        <v>2694514.97359207</v>
      </c>
      <c r="AM31" s="2" t="n">
        <v>1278880.02220746</v>
      </c>
      <c r="AN31" s="2" t="n">
        <v>290879.377726977</v>
      </c>
      <c r="AO31" s="2" t="n">
        <v>3530605.34557957</v>
      </c>
      <c r="AP31" s="2" t="n">
        <v>3250246.26344887</v>
      </c>
      <c r="AQ31" s="2" t="n">
        <v>4175752.59200803</v>
      </c>
      <c r="AR31" s="2" t="n">
        <v>3065356.49901579</v>
      </c>
      <c r="AS31" s="2" t="n">
        <v>4421450.56898016</v>
      </c>
    </row>
    <row r="32">
      <c r="A32" s="2" t="s">
        <v>299</v>
      </c>
      <c r="B32" s="2" t="n">
        <v>261.144598200982</v>
      </c>
      <c r="C32" s="2" t="n">
        <v>1.46078333333333</v>
      </c>
      <c r="D32" s="2" t="s">
        <v>59</v>
      </c>
      <c r="E32" s="2" t="s">
        <v>300</v>
      </c>
      <c r="F32" s="2" t="n">
        <v>53951</v>
      </c>
      <c r="G32" s="5" t="str">
        <f>HYPERLINK("http://funmeta.oebiotech.com/network/53951", "http://funmeta.oebiotech.com/network/53951")</f>
      </c>
      <c r="H32" s="2" t="s">
        <v>301</v>
      </c>
      <c r="I32" s="2"/>
      <c r="J32" s="2"/>
      <c r="K32" s="2"/>
      <c r="L32" s="2"/>
      <c r="M32" s="2"/>
      <c r="N32" s="2"/>
      <c r="O32" s="2" t="n">
        <v>5259589</v>
      </c>
      <c r="P32" s="2"/>
      <c r="Q32" s="2" t="s">
        <v>302</v>
      </c>
      <c r="R32" s="2" t="s">
        <v>303</v>
      </c>
      <c r="S32" s="2" t="s">
        <v>110</v>
      </c>
      <c r="T32" s="2" t="s">
        <v>111</v>
      </c>
      <c r="U32" s="2" t="s">
        <v>112</v>
      </c>
      <c r="V32" s="2" t="s">
        <v>92</v>
      </c>
      <c r="W32" s="2" t="n">
        <v>55.8</v>
      </c>
      <c r="X32" s="2" t="n">
        <v>75.4</v>
      </c>
      <c r="Y32" s="2" t="s">
        <v>304</v>
      </c>
      <c r="Z32" s="2" t="s">
        <v>167</v>
      </c>
      <c r="AA32" s="2" t="n">
        <v>0.384490081117203</v>
      </c>
      <c r="AB32" s="2" t="n">
        <v>4.09617575930596</v>
      </c>
      <c r="AC32" s="2" t="n">
        <v>1931835.89512876</v>
      </c>
      <c r="AD32" s="2" t="n">
        <v>4093247.00632675</v>
      </c>
      <c r="AE32" s="3" t="n">
        <v>0.471956833326406</v>
      </c>
      <c r="AF32" s="3" t="n">
        <v>-1.08327318274481</v>
      </c>
      <c r="AG32" s="3" t="s">
        <v>57</v>
      </c>
      <c r="AH32" s="2" t="n">
        <v>0.0068800556053039</v>
      </c>
      <c r="AI32" s="2" t="n">
        <v>0.0279980040604728</v>
      </c>
      <c r="AJ32" s="2" t="n">
        <v>1622181.21766568</v>
      </c>
      <c r="AK32" s="2" t="n">
        <v>2790838.92516525</v>
      </c>
      <c r="AL32" s="2" t="n">
        <v>3167544.16382324</v>
      </c>
      <c r="AM32" s="2" t="n">
        <v>1865121.66733068</v>
      </c>
      <c r="AN32" s="2" t="n">
        <v>213493.501658975</v>
      </c>
      <c r="AO32" s="2" t="n">
        <v>3466268.05867615</v>
      </c>
      <c r="AP32" s="2" t="n">
        <v>4159690.15398336</v>
      </c>
      <c r="AQ32" s="2" t="n">
        <v>4440856.21108874</v>
      </c>
      <c r="AR32" s="2" t="n">
        <v>3390400.98850285</v>
      </c>
      <c r="AS32" s="2" t="n">
        <v>5009019.61938264</v>
      </c>
    </row>
    <row r="33">
      <c r="A33" s="2" t="s">
        <v>305</v>
      </c>
      <c r="B33" s="2" t="n">
        <v>723.50257685923</v>
      </c>
      <c r="C33" s="2" t="n">
        <v>5.09986666666667</v>
      </c>
      <c r="D33" s="2" t="s">
        <v>46</v>
      </c>
      <c r="E33" s="2" t="s">
        <v>306</v>
      </c>
      <c r="F33" s="2" t="n">
        <v>248754</v>
      </c>
      <c r="G33" s="5" t="str">
        <f>HYPERLINK("http://funmeta.oebiotech.com/network/248754", "http://funmeta.oebiotech.com/network/248754")</f>
      </c>
      <c r="H33" s="2" t="s">
        <v>307</v>
      </c>
      <c r="I33" s="2"/>
      <c r="J33" s="2"/>
      <c r="K33" s="2"/>
      <c r="L33" s="2"/>
      <c r="M33" s="2"/>
      <c r="N33" s="2"/>
      <c r="O33" s="2"/>
      <c r="P33" s="2"/>
      <c r="Q33" s="2" t="s">
        <v>308</v>
      </c>
      <c r="R33" s="2" t="s">
        <v>309</v>
      </c>
      <c r="S33" s="2" t="s">
        <v>77</v>
      </c>
      <c r="T33" s="2" t="s">
        <v>77</v>
      </c>
      <c r="U33" s="2" t="s">
        <v>77</v>
      </c>
      <c r="V33" s="2" t="s">
        <v>54</v>
      </c>
      <c r="W33" s="2" t="n">
        <v>42.9</v>
      </c>
      <c r="X33" s="2" t="n">
        <v>20.9</v>
      </c>
      <c r="Y33" s="2" t="s">
        <v>310</v>
      </c>
      <c r="Z33" s="2" t="s">
        <v>311</v>
      </c>
      <c r="AA33" s="2" t="n">
        <v>-3.97226834114107</v>
      </c>
      <c r="AB33" s="2" t="n">
        <v>3.92136483372064</v>
      </c>
      <c r="AC33" s="2" t="n">
        <v>3976103.73224403</v>
      </c>
      <c r="AD33" s="2" t="n">
        <v>1736959.35056206</v>
      </c>
      <c r="AE33" s="4" t="n">
        <v>2.28911731927256</v>
      </c>
      <c r="AF33" s="4" t="n">
        <v>1.19479140417599</v>
      </c>
      <c r="AG33" s="4" t="s">
        <v>72</v>
      </c>
      <c r="AH33" s="2" t="n">
        <v>0.0305811069224338</v>
      </c>
      <c r="AI33" s="2" t="n">
        <v>0.0766330801333427</v>
      </c>
      <c r="AJ33" s="2" t="n">
        <v>5035595.40746592</v>
      </c>
      <c r="AK33" s="2" t="n">
        <v>1811580.82902164</v>
      </c>
      <c r="AL33" s="2" t="n">
        <v>2092996.64339636</v>
      </c>
      <c r="AM33" s="2" t="n">
        <v>6049950.85126684</v>
      </c>
      <c r="AN33" s="2" t="n">
        <v>4890394.93006937</v>
      </c>
      <c r="AO33" s="2" t="n">
        <v>1997216.65239098</v>
      </c>
      <c r="AP33" s="2" t="n">
        <v>1607243.5566737</v>
      </c>
      <c r="AQ33" s="2" t="n">
        <v>1716170.89165953</v>
      </c>
      <c r="AR33" s="2" t="n">
        <v>1753553.51121301</v>
      </c>
      <c r="AS33" s="2" t="n">
        <v>1610612.14087309</v>
      </c>
    </row>
    <row r="34">
      <c r="A34" s="2" t="s">
        <v>312</v>
      </c>
      <c r="B34" s="2" t="n">
        <v>643.269945539823</v>
      </c>
      <c r="C34" s="2" t="n">
        <v>6.869</v>
      </c>
      <c r="D34" s="2" t="s">
        <v>46</v>
      </c>
      <c r="E34" s="2" t="s">
        <v>313</v>
      </c>
      <c r="F34" s="2" t="n">
        <v>211239</v>
      </c>
      <c r="G34" s="5" t="str">
        <f>HYPERLINK("http://funmeta.oebiotech.com/network/211239", "http://funmeta.oebiotech.com/network/211239")</f>
      </c>
      <c r="H34" s="2" t="s">
        <v>314</v>
      </c>
      <c r="I34" s="2"/>
      <c r="J34" s="2"/>
      <c r="K34" s="2"/>
      <c r="L34" s="2"/>
      <c r="M34" s="2"/>
      <c r="N34" s="2"/>
      <c r="O34" s="2" t="n">
        <v>76504417</v>
      </c>
      <c r="P34" s="2"/>
      <c r="Q34" s="2" t="s">
        <v>315</v>
      </c>
      <c r="R34" s="2" t="s">
        <v>316</v>
      </c>
      <c r="S34" s="2" t="s">
        <v>77</v>
      </c>
      <c r="T34" s="2" t="s">
        <v>77</v>
      </c>
      <c r="U34" s="2" t="s">
        <v>77</v>
      </c>
      <c r="V34" s="2" t="s">
        <v>54</v>
      </c>
      <c r="W34" s="2" t="n">
        <v>37.5</v>
      </c>
      <c r="X34" s="2" t="n">
        <v>0</v>
      </c>
      <c r="Y34" s="2" t="s">
        <v>85</v>
      </c>
      <c r="Z34" s="2" t="s">
        <v>317</v>
      </c>
      <c r="AA34" s="2" t="n">
        <v>-1.06195908769405</v>
      </c>
      <c r="AB34" s="2" t="n">
        <v>3.8125532993274</v>
      </c>
      <c r="AC34" s="2" t="n">
        <v>38680.4072047486</v>
      </c>
      <c r="AD34" s="2" t="n">
        <v>1649651.36284205</v>
      </c>
      <c r="AE34" s="3" t="n">
        <v>0.0234476254049882</v>
      </c>
      <c r="AF34" s="3" t="n">
        <v>-5.4144143646849</v>
      </c>
      <c r="AG34" s="3" t="s">
        <v>57</v>
      </c>
      <c r="AH34" s="2" t="n">
        <v>0.00216086297240923</v>
      </c>
      <c r="AI34" s="2" t="n">
        <v>0.0117573417068877</v>
      </c>
      <c r="AJ34" s="2" t="n">
        <v>54209.0861787517</v>
      </c>
      <c r="AK34" s="2" t="n">
        <v>0.00000136409140715624</v>
      </c>
      <c r="AL34" s="2" t="n">
        <v>45741.2839820675</v>
      </c>
      <c r="AM34" s="2" t="n">
        <v>79101.5021649057</v>
      </c>
      <c r="AN34" s="2" t="n">
        <v>14350.1636966538</v>
      </c>
      <c r="AO34" s="2" t="n">
        <v>1161833.36228228</v>
      </c>
      <c r="AP34" s="2" t="n">
        <v>1391296.0636555</v>
      </c>
      <c r="AQ34" s="2" t="n">
        <v>2801280.03656564</v>
      </c>
      <c r="AR34" s="2" t="n">
        <v>771333.471044092</v>
      </c>
      <c r="AS34" s="2" t="n">
        <v>2122513.88066272</v>
      </c>
    </row>
    <row r="35">
      <c r="A35" s="2" t="s">
        <v>318</v>
      </c>
      <c r="B35" s="2" t="n">
        <v>243.170973500464</v>
      </c>
      <c r="C35" s="2" t="n">
        <v>4.1878</v>
      </c>
      <c r="D35" s="2" t="s">
        <v>46</v>
      </c>
      <c r="E35" s="2" t="s">
        <v>319</v>
      </c>
      <c r="F35" s="2" t="n">
        <v>53955</v>
      </c>
      <c r="G35" s="5" t="str">
        <f>HYPERLINK("http://funmeta.oebiotech.com/network/53955", "http://funmeta.oebiotech.com/network/53955")</f>
      </c>
      <c r="H35" s="2" t="s">
        <v>320</v>
      </c>
      <c r="I35" s="2"/>
      <c r="J35" s="2"/>
      <c r="K35" s="2"/>
      <c r="L35" s="2"/>
      <c r="M35" s="2"/>
      <c r="N35" s="2"/>
      <c r="O35" s="2" t="n">
        <v>435718</v>
      </c>
      <c r="P35" s="2"/>
      <c r="Q35" s="2" t="s">
        <v>321</v>
      </c>
      <c r="R35" s="2" t="s">
        <v>322</v>
      </c>
      <c r="S35" s="2" t="s">
        <v>110</v>
      </c>
      <c r="T35" s="2" t="s">
        <v>111</v>
      </c>
      <c r="U35" s="2" t="s">
        <v>112</v>
      </c>
      <c r="V35" s="2" t="s">
        <v>122</v>
      </c>
      <c r="W35" s="2" t="n">
        <v>56.9</v>
      </c>
      <c r="X35" s="2" t="n">
        <v>23.8</v>
      </c>
      <c r="Y35" s="2" t="s">
        <v>323</v>
      </c>
      <c r="Z35" s="2" t="s">
        <v>324</v>
      </c>
      <c r="AA35" s="2" t="n">
        <v>-1.8130390143532</v>
      </c>
      <c r="AB35" s="2" t="n">
        <v>3.70461830885204</v>
      </c>
      <c r="AC35" s="2" t="n">
        <v>581073.203794358</v>
      </c>
      <c r="AD35" s="2" t="n">
        <v>2134445.10505974</v>
      </c>
      <c r="AE35" s="3" t="n">
        <v>0.272236190294571</v>
      </c>
      <c r="AF35" s="3" t="n">
        <v>-1.87706922757549</v>
      </c>
      <c r="AG35" s="3" t="s">
        <v>57</v>
      </c>
      <c r="AH35" s="2" t="n">
        <v>0.00220176002817902</v>
      </c>
      <c r="AI35" s="2" t="n">
        <v>0.011924504404001</v>
      </c>
      <c r="AJ35" s="2" t="n">
        <v>363539.063729697</v>
      </c>
      <c r="AK35" s="2" t="n">
        <v>888171.621057539</v>
      </c>
      <c r="AL35" s="2" t="n">
        <v>962385.375716809</v>
      </c>
      <c r="AM35" s="2" t="n">
        <v>650088.928807657</v>
      </c>
      <c r="AN35" s="2" t="n">
        <v>41181.0296600893</v>
      </c>
      <c r="AO35" s="2" t="n">
        <v>1615792.02039086</v>
      </c>
      <c r="AP35" s="2" t="n">
        <v>1820527.54496925</v>
      </c>
      <c r="AQ35" s="2" t="n">
        <v>2732193.98134844</v>
      </c>
      <c r="AR35" s="2" t="n">
        <v>1501792.76099003</v>
      </c>
      <c r="AS35" s="2" t="n">
        <v>3001919.2176001</v>
      </c>
    </row>
    <row r="36">
      <c r="A36" s="2" t="s">
        <v>325</v>
      </c>
      <c r="B36" s="2" t="n">
        <v>277.102998735496</v>
      </c>
      <c r="C36" s="2" t="n">
        <v>0.764783333333333</v>
      </c>
      <c r="D36" s="2" t="s">
        <v>59</v>
      </c>
      <c r="E36" s="2" t="s">
        <v>326</v>
      </c>
      <c r="F36" s="2" t="n">
        <v>51506</v>
      </c>
      <c r="G36" s="5" t="str">
        <f>HYPERLINK("http://funmeta.oebiotech.com/network/51506", "http://funmeta.oebiotech.com/network/51506")</f>
      </c>
      <c r="H36" s="2" t="s">
        <v>327</v>
      </c>
      <c r="I36" s="2" t="n">
        <v>62460</v>
      </c>
      <c r="J36" s="2"/>
      <c r="K36" s="2" t="n">
        <v>73705</v>
      </c>
      <c r="L36" s="2" t="s">
        <v>328</v>
      </c>
      <c r="M36" s="2"/>
      <c r="N36" s="2"/>
      <c r="O36" s="2" t="n">
        <v>92865</v>
      </c>
      <c r="P36" s="2" t="s">
        <v>329</v>
      </c>
      <c r="Q36" s="2" t="s">
        <v>330</v>
      </c>
      <c r="R36" s="2" t="s">
        <v>331</v>
      </c>
      <c r="S36" s="2" t="s">
        <v>110</v>
      </c>
      <c r="T36" s="2" t="s">
        <v>111</v>
      </c>
      <c r="U36" s="2" t="s">
        <v>112</v>
      </c>
      <c r="V36" s="2" t="s">
        <v>92</v>
      </c>
      <c r="W36" s="2" t="n">
        <v>62.2</v>
      </c>
      <c r="X36" s="2" t="n">
        <v>75.1</v>
      </c>
      <c r="Y36" s="2" t="s">
        <v>332</v>
      </c>
      <c r="Z36" s="2" t="s">
        <v>333</v>
      </c>
      <c r="AA36" s="2" t="n">
        <v>-0.103428409363318</v>
      </c>
      <c r="AB36" s="2" t="n">
        <v>3.44440495707687</v>
      </c>
      <c r="AC36" s="2" t="n">
        <v>2084324.27046926</v>
      </c>
      <c r="AD36" s="2" t="n">
        <v>312093.251182501</v>
      </c>
      <c r="AE36" s="4" t="n">
        <v>6.67853041541878</v>
      </c>
      <c r="AF36" s="4" t="n">
        <v>2.73953067820275</v>
      </c>
      <c r="AG36" s="4" t="s">
        <v>72</v>
      </c>
      <c r="AH36" s="2" t="n">
        <v>0.0439224313494141</v>
      </c>
      <c r="AI36" s="2" t="n">
        <v>0.0969500845873262</v>
      </c>
      <c r="AJ36" s="2" t="n">
        <v>3345361.98411365</v>
      </c>
      <c r="AK36" s="2" t="n">
        <v>386486.020670454</v>
      </c>
      <c r="AL36" s="2" t="n">
        <v>517592.553889736</v>
      </c>
      <c r="AM36" s="2" t="n">
        <v>2076737.70462364</v>
      </c>
      <c r="AN36" s="2" t="n">
        <v>4095443.08904884</v>
      </c>
      <c r="AO36" s="2" t="n">
        <v>222074.37426873</v>
      </c>
      <c r="AP36" s="2" t="n">
        <v>334721.293544126</v>
      </c>
      <c r="AQ36" s="2" t="n">
        <v>212022.926780372</v>
      </c>
      <c r="AR36" s="2" t="n">
        <v>371925.633786109</v>
      </c>
      <c r="AS36" s="2" t="n">
        <v>419722.027533166</v>
      </c>
    </row>
    <row r="37">
      <c r="A37" s="2" t="s">
        <v>334</v>
      </c>
      <c r="B37" s="2" t="n">
        <v>124.039647568508</v>
      </c>
      <c r="C37" s="2" t="n">
        <v>1.05406666666667</v>
      </c>
      <c r="D37" s="2" t="s">
        <v>59</v>
      </c>
      <c r="E37" s="2" t="s">
        <v>335</v>
      </c>
      <c r="F37" s="2" t="n">
        <v>47609</v>
      </c>
      <c r="G37" s="5" t="str">
        <f>HYPERLINK("http://funmeta.oebiotech.com/network/47609", "http://funmeta.oebiotech.com/network/47609")</f>
      </c>
      <c r="H37" s="2" t="s">
        <v>336</v>
      </c>
      <c r="I37" s="2" t="n">
        <v>240</v>
      </c>
      <c r="J37" s="2"/>
      <c r="K37" s="2" t="n">
        <v>15940</v>
      </c>
      <c r="L37" s="2" t="s">
        <v>337</v>
      </c>
      <c r="M37" s="2" t="s">
        <v>338</v>
      </c>
      <c r="N37" s="2" t="s">
        <v>339</v>
      </c>
      <c r="O37" s="2" t="n">
        <v>938</v>
      </c>
      <c r="P37" s="2" t="s">
        <v>340</v>
      </c>
      <c r="Q37" s="2" t="s">
        <v>341</v>
      </c>
      <c r="R37" s="2" t="s">
        <v>342</v>
      </c>
      <c r="S37" s="2" t="s">
        <v>51</v>
      </c>
      <c r="T37" s="2" t="s">
        <v>343</v>
      </c>
      <c r="U37" s="2" t="s">
        <v>344</v>
      </c>
      <c r="V37" s="2" t="s">
        <v>54</v>
      </c>
      <c r="W37" s="2" t="n">
        <v>43.3</v>
      </c>
      <c r="X37" s="2" t="n">
        <v>19.3</v>
      </c>
      <c r="Y37" s="2" t="s">
        <v>248</v>
      </c>
      <c r="Z37" s="2" t="s">
        <v>345</v>
      </c>
      <c r="AA37" s="2" t="n">
        <v>2.78571557954616</v>
      </c>
      <c r="AB37" s="2" t="n">
        <v>3.34074412866099</v>
      </c>
      <c r="AC37" s="2" t="n">
        <v>2100056.82460559</v>
      </c>
      <c r="AD37" s="2" t="n">
        <v>270113.473114338</v>
      </c>
      <c r="AE37" s="4" t="n">
        <v>7.77472075121793</v>
      </c>
      <c r="AF37" s="4" t="n">
        <v>2.95879085812838</v>
      </c>
      <c r="AG37" s="4" t="s">
        <v>72</v>
      </c>
      <c r="AH37" s="2" t="n">
        <v>0.0489228387220641</v>
      </c>
      <c r="AI37" s="2" t="n">
        <v>0.102829209078657</v>
      </c>
      <c r="AJ37" s="2" t="n">
        <v>2807142.14073477</v>
      </c>
      <c r="AK37" s="2" t="n">
        <v>628256.044879838</v>
      </c>
      <c r="AL37" s="2" t="n">
        <v>641712.109680821</v>
      </c>
      <c r="AM37" s="2" t="n">
        <v>1609087.71088084</v>
      </c>
      <c r="AN37" s="2" t="n">
        <v>4814086.11685167</v>
      </c>
      <c r="AO37" s="2" t="n">
        <v>243282.420585825</v>
      </c>
      <c r="AP37" s="2" t="n">
        <v>349982.28980167</v>
      </c>
      <c r="AQ37" s="2" t="n">
        <v>98347.8029051414</v>
      </c>
      <c r="AR37" s="2" t="n">
        <v>331355.947564455</v>
      </c>
      <c r="AS37" s="2" t="n">
        <v>327598.904714597</v>
      </c>
    </row>
    <row r="38">
      <c r="A38" s="2" t="s">
        <v>346</v>
      </c>
      <c r="B38" s="2" t="n">
        <v>318.166292101418</v>
      </c>
      <c r="C38" s="2" t="n">
        <v>1.8305</v>
      </c>
      <c r="D38" s="2" t="s">
        <v>59</v>
      </c>
      <c r="E38" s="2" t="s">
        <v>347</v>
      </c>
      <c r="F38" s="2" t="n">
        <v>261653</v>
      </c>
      <c r="G38" s="5" t="str">
        <f>HYPERLINK("http://funmeta.oebiotech.com/network/261653", "http://funmeta.oebiotech.com/network/261653")</f>
      </c>
      <c r="H38" s="2"/>
      <c r="I38" s="2" t="n">
        <v>18977</v>
      </c>
      <c r="J38" s="2"/>
      <c r="K38" s="2"/>
      <c r="L38" s="2"/>
      <c r="M38" s="2"/>
      <c r="N38" s="2"/>
      <c r="O38" s="2" t="n">
        <v>145453582</v>
      </c>
      <c r="P38" s="2"/>
      <c r="Q38" s="2" t="s">
        <v>348</v>
      </c>
      <c r="R38" s="2" t="s">
        <v>349</v>
      </c>
      <c r="S38" s="2" t="s">
        <v>110</v>
      </c>
      <c r="T38" s="2" t="s">
        <v>111</v>
      </c>
      <c r="U38" s="2" t="s">
        <v>112</v>
      </c>
      <c r="V38" s="2" t="s">
        <v>54</v>
      </c>
      <c r="W38" s="2" t="n">
        <v>47.7</v>
      </c>
      <c r="X38" s="2" t="n">
        <v>40.9</v>
      </c>
      <c r="Y38" s="2" t="s">
        <v>332</v>
      </c>
      <c r="Z38" s="2" t="s">
        <v>350</v>
      </c>
      <c r="AA38" s="2" t="n">
        <v>1.0411193621762</v>
      </c>
      <c r="AB38" s="2" t="n">
        <v>3.31265047314576</v>
      </c>
      <c r="AC38" s="2" t="n">
        <v>408321.028310488</v>
      </c>
      <c r="AD38" s="2" t="n">
        <v>1570662.43187677</v>
      </c>
      <c r="AE38" s="3" t="n">
        <v>0.259967399756668</v>
      </c>
      <c r="AF38" s="3" t="n">
        <v>-1.9435973760883</v>
      </c>
      <c r="AG38" s="3" t="s">
        <v>57</v>
      </c>
      <c r="AH38" s="2" t="n">
        <v>0.0000383543567583435</v>
      </c>
      <c r="AI38" s="2" t="n">
        <v>0.000831850305714149</v>
      </c>
      <c r="AJ38" s="2" t="n">
        <v>423546.677079497</v>
      </c>
      <c r="AK38" s="2" t="n">
        <v>439946.912271343</v>
      </c>
      <c r="AL38" s="2" t="n">
        <v>583020.989790076</v>
      </c>
      <c r="AM38" s="2" t="n">
        <v>529204.857601893</v>
      </c>
      <c r="AN38" s="2" t="n">
        <v>65885.7048096322</v>
      </c>
      <c r="AO38" s="2" t="n">
        <v>1466831.97191083</v>
      </c>
      <c r="AP38" s="2" t="n">
        <v>1627010.17487495</v>
      </c>
      <c r="AQ38" s="2" t="n">
        <v>1803553.26607239</v>
      </c>
      <c r="AR38" s="2" t="n">
        <v>1196651.88282439</v>
      </c>
      <c r="AS38" s="2" t="n">
        <v>1759264.86370128</v>
      </c>
    </row>
    <row r="39">
      <c r="A39" s="2" t="s">
        <v>351</v>
      </c>
      <c r="B39" s="2" t="n">
        <v>275.075081099504</v>
      </c>
      <c r="C39" s="2" t="n">
        <v>1.3718</v>
      </c>
      <c r="D39" s="2" t="s">
        <v>59</v>
      </c>
      <c r="E39" s="2" t="s">
        <v>352</v>
      </c>
      <c r="F39" s="2" t="n">
        <v>46855</v>
      </c>
      <c r="G39" s="5" t="str">
        <f>HYPERLINK("http://funmeta.oebiotech.com/network/46855", "http://funmeta.oebiotech.com/network/46855")</f>
      </c>
      <c r="H39" s="2" t="s">
        <v>353</v>
      </c>
      <c r="I39" s="2" t="n">
        <v>3383</v>
      </c>
      <c r="J39" s="2"/>
      <c r="K39" s="2" t="n">
        <v>28997</v>
      </c>
      <c r="L39" s="2" t="s">
        <v>354</v>
      </c>
      <c r="M39" s="2" t="s">
        <v>355</v>
      </c>
      <c r="N39" s="2" t="s">
        <v>356</v>
      </c>
      <c r="O39" s="2" t="n">
        <v>65058</v>
      </c>
      <c r="P39" s="2" t="s">
        <v>357</v>
      </c>
      <c r="Q39" s="2" t="s">
        <v>358</v>
      </c>
      <c r="R39" s="2" t="s">
        <v>359</v>
      </c>
      <c r="S39" s="2" t="s">
        <v>360</v>
      </c>
      <c r="T39" s="2" t="s">
        <v>361</v>
      </c>
      <c r="U39" s="2" t="s">
        <v>362</v>
      </c>
      <c r="V39" s="2" t="s">
        <v>92</v>
      </c>
      <c r="W39" s="2" t="n">
        <v>55.4</v>
      </c>
      <c r="X39" s="2" t="n">
        <v>74</v>
      </c>
      <c r="Y39" s="2" t="s">
        <v>363</v>
      </c>
      <c r="Z39" s="2" t="s">
        <v>364</v>
      </c>
      <c r="AA39" s="2" t="n">
        <v>0.0219656278297364</v>
      </c>
      <c r="AB39" s="2" t="n">
        <v>3.31072573953919</v>
      </c>
      <c r="AC39" s="2" t="n">
        <v>1484267.83427796</v>
      </c>
      <c r="AD39" s="2" t="n">
        <v>266683.782806068</v>
      </c>
      <c r="AE39" s="4" t="n">
        <v>5.5656471445709</v>
      </c>
      <c r="AF39" s="4" t="n">
        <v>2.47654944641398</v>
      </c>
      <c r="AG39" s="4" t="s">
        <v>72</v>
      </c>
      <c r="AH39" s="2" t="n">
        <v>0.0155603599035457</v>
      </c>
      <c r="AI39" s="2" t="n">
        <v>0.0487874312652638</v>
      </c>
      <c r="AJ39" s="2" t="n">
        <v>2997727.03351087</v>
      </c>
      <c r="AK39" s="2" t="n">
        <v>959217.425010049</v>
      </c>
      <c r="AL39" s="2" t="n">
        <v>747187.776483322</v>
      </c>
      <c r="AM39" s="2" t="n">
        <v>1365213.48063873</v>
      </c>
      <c r="AN39" s="2" t="n">
        <v>1351993.45574684</v>
      </c>
      <c r="AO39" s="2" t="n">
        <v>252152.429857851</v>
      </c>
      <c r="AP39" s="2" t="n">
        <v>318534.700267117</v>
      </c>
      <c r="AQ39" s="2" t="n">
        <v>157091.504530463</v>
      </c>
      <c r="AR39" s="2" t="n">
        <v>248605.890251845</v>
      </c>
      <c r="AS39" s="2" t="n">
        <v>357034.389123066</v>
      </c>
    </row>
    <row r="40">
      <c r="A40" s="2" t="s">
        <v>365</v>
      </c>
      <c r="B40" s="2" t="n">
        <v>316.12213339745</v>
      </c>
      <c r="C40" s="2" t="n">
        <v>6.3668</v>
      </c>
      <c r="D40" s="2" t="s">
        <v>46</v>
      </c>
      <c r="E40" s="2" t="s">
        <v>366</v>
      </c>
      <c r="F40" s="2" t="n">
        <v>212681</v>
      </c>
      <c r="G40" s="5" t="str">
        <f>HYPERLINK("http://funmeta.oebiotech.com/network/212681", "http://funmeta.oebiotech.com/network/212681")</f>
      </c>
      <c r="H40" s="2" t="s">
        <v>367</v>
      </c>
      <c r="I40" s="2"/>
      <c r="J40" s="2"/>
      <c r="K40" s="2"/>
      <c r="L40" s="2"/>
      <c r="M40" s="2"/>
      <c r="N40" s="2"/>
      <c r="O40" s="2"/>
      <c r="P40" s="2"/>
      <c r="Q40" s="2" t="s">
        <v>368</v>
      </c>
      <c r="R40" s="2" t="s">
        <v>369</v>
      </c>
      <c r="S40" s="2" t="s">
        <v>147</v>
      </c>
      <c r="T40" s="2" t="s">
        <v>148</v>
      </c>
      <c r="U40" s="2" t="s">
        <v>370</v>
      </c>
      <c r="V40" s="2" t="s">
        <v>54</v>
      </c>
      <c r="W40" s="2" t="n">
        <v>42.7</v>
      </c>
      <c r="X40" s="2" t="n">
        <v>41.2</v>
      </c>
      <c r="Y40" s="2" t="s">
        <v>290</v>
      </c>
      <c r="Z40" s="2" t="s">
        <v>371</v>
      </c>
      <c r="AA40" s="2" t="n">
        <v>-0.252722981063967</v>
      </c>
      <c r="AB40" s="2" t="n">
        <v>3.26325228988804</v>
      </c>
      <c r="AC40" s="2" t="n">
        <v>469173.009560023</v>
      </c>
      <c r="AD40" s="2" t="n">
        <v>1983823.73687739</v>
      </c>
      <c r="AE40" s="3" t="n">
        <v>0.236499342576936</v>
      </c>
      <c r="AF40" s="3" t="n">
        <v>-2.08009192173416</v>
      </c>
      <c r="AG40" s="3" t="s">
        <v>57</v>
      </c>
      <c r="AH40" s="2" t="n">
        <v>0.0357536168773923</v>
      </c>
      <c r="AI40" s="2" t="n">
        <v>0.0852283684937041</v>
      </c>
      <c r="AJ40" s="2" t="n">
        <v>230094.911417368</v>
      </c>
      <c r="AK40" s="2" t="n">
        <v>1081017.27686213</v>
      </c>
      <c r="AL40" s="2" t="n">
        <v>673444.329089828</v>
      </c>
      <c r="AM40" s="2" t="n">
        <v>359308.855800582</v>
      </c>
      <c r="AN40" s="2" t="n">
        <v>1999.67463020761</v>
      </c>
      <c r="AO40" s="2" t="n">
        <v>956612.095811566</v>
      </c>
      <c r="AP40" s="2" t="n">
        <v>1047944.17556855</v>
      </c>
      <c r="AQ40" s="2" t="n">
        <v>4102792.70945249</v>
      </c>
      <c r="AR40" s="2" t="n">
        <v>1702387.54105556</v>
      </c>
      <c r="AS40" s="2" t="n">
        <v>2109382.16249877</v>
      </c>
    </row>
    <row r="41">
      <c r="A41" s="2" t="s">
        <v>372</v>
      </c>
      <c r="B41" s="2" t="n">
        <v>619.270266588696</v>
      </c>
      <c r="C41" s="2" t="n">
        <v>6.4774</v>
      </c>
      <c r="D41" s="2" t="s">
        <v>46</v>
      </c>
      <c r="E41" s="2" t="s">
        <v>373</v>
      </c>
      <c r="F41" s="2" t="n">
        <v>202862</v>
      </c>
      <c r="G41" s="5" t="str">
        <f>HYPERLINK("http://funmeta.oebiotech.com/network/202862", "http://funmeta.oebiotech.com/network/202862")</f>
      </c>
      <c r="H41" s="2" t="s">
        <v>374</v>
      </c>
      <c r="I41" s="2"/>
      <c r="J41" s="2"/>
      <c r="K41" s="2"/>
      <c r="L41" s="2"/>
      <c r="M41" s="2"/>
      <c r="N41" s="2"/>
      <c r="O41" s="2" t="n">
        <v>146365</v>
      </c>
      <c r="P41" s="2"/>
      <c r="Q41" s="2" t="s">
        <v>375</v>
      </c>
      <c r="R41" s="2" t="s">
        <v>376</v>
      </c>
      <c r="S41" s="2" t="s">
        <v>77</v>
      </c>
      <c r="T41" s="2" t="s">
        <v>77</v>
      </c>
      <c r="U41" s="2" t="s">
        <v>77</v>
      </c>
      <c r="V41" s="2" t="s">
        <v>122</v>
      </c>
      <c r="W41" s="2" t="n">
        <v>48.6</v>
      </c>
      <c r="X41" s="2" t="n">
        <v>29</v>
      </c>
      <c r="Y41" s="2" t="s">
        <v>85</v>
      </c>
      <c r="Z41" s="2" t="s">
        <v>377</v>
      </c>
      <c r="AA41" s="2" t="n">
        <v>-0.585460001809358</v>
      </c>
      <c r="AB41" s="2" t="n">
        <v>3.2274083822931</v>
      </c>
      <c r="AC41" s="2" t="n">
        <v>3187.01241410727</v>
      </c>
      <c r="AD41" s="2" t="n">
        <v>1316673.54055063</v>
      </c>
      <c r="AE41" s="3" t="n">
        <v>0.00242050312089849</v>
      </c>
      <c r="AF41" s="3" t="n">
        <v>-8.69047733030968</v>
      </c>
      <c r="AG41" s="3" t="s">
        <v>57</v>
      </c>
      <c r="AH41" s="2" t="n">
        <v>0.0322895141391462</v>
      </c>
      <c r="AI41" s="2" t="n">
        <v>0.0795696185262391</v>
      </c>
      <c r="AJ41" s="2" t="n">
        <v>360.938581949866</v>
      </c>
      <c r="AK41" s="2" t="n">
        <v>0.00000136409140715624</v>
      </c>
      <c r="AL41" s="2" t="n">
        <v>15574.1234844942</v>
      </c>
      <c r="AM41" s="2" t="n">
        <v>0.00000136409140715624</v>
      </c>
      <c r="AN41" s="2" t="n">
        <v>0.00000136409140715624</v>
      </c>
      <c r="AO41" s="2" t="n">
        <v>947611.440800543</v>
      </c>
      <c r="AP41" s="2" t="n">
        <v>832019.352627189</v>
      </c>
      <c r="AQ41" s="2" t="n">
        <v>3044815.65456829</v>
      </c>
      <c r="AR41" s="2" t="n">
        <v>37521.5304131861</v>
      </c>
      <c r="AS41" s="2" t="n">
        <v>1721399.72434394</v>
      </c>
    </row>
    <row r="42">
      <c r="A42" s="2" t="s">
        <v>378</v>
      </c>
      <c r="B42" s="2" t="n">
        <v>402.156376196263</v>
      </c>
      <c r="C42" s="2" t="n">
        <v>7.02658333333333</v>
      </c>
      <c r="D42" s="2" t="s">
        <v>46</v>
      </c>
      <c r="E42" s="2" t="s">
        <v>379</v>
      </c>
      <c r="F42" s="2" t="n">
        <v>207914</v>
      </c>
      <c r="G42" s="5" t="str">
        <f>HYPERLINK("http://funmeta.oebiotech.com/network/207914", "http://funmeta.oebiotech.com/network/207914")</f>
      </c>
      <c r="H42" s="2" t="s">
        <v>380</v>
      </c>
      <c r="I42" s="2"/>
      <c r="J42" s="2"/>
      <c r="K42" s="2"/>
      <c r="L42" s="2"/>
      <c r="M42" s="2"/>
      <c r="N42" s="2"/>
      <c r="O42" s="2" t="n">
        <v>135221</v>
      </c>
      <c r="P42" s="2"/>
      <c r="Q42" s="2" t="s">
        <v>381</v>
      </c>
      <c r="R42" s="2" t="s">
        <v>382</v>
      </c>
      <c r="S42" s="2" t="s">
        <v>77</v>
      </c>
      <c r="T42" s="2" t="s">
        <v>77</v>
      </c>
      <c r="U42" s="2" t="s">
        <v>77</v>
      </c>
      <c r="V42" s="2" t="s">
        <v>54</v>
      </c>
      <c r="W42" s="2" t="n">
        <v>39</v>
      </c>
      <c r="X42" s="2" t="n">
        <v>1.65</v>
      </c>
      <c r="Y42" s="2" t="s">
        <v>131</v>
      </c>
      <c r="Z42" s="2" t="s">
        <v>383</v>
      </c>
      <c r="AA42" s="2" t="n">
        <v>1.54129722536195</v>
      </c>
      <c r="AB42" s="2" t="n">
        <v>3.13444252157214</v>
      </c>
      <c r="AC42" s="2" t="n">
        <v>1220264.81353055</v>
      </c>
      <c r="AD42" s="2" t="n">
        <v>18056.0256703955</v>
      </c>
      <c r="AE42" s="4" t="n">
        <v>67.5821377198907</v>
      </c>
      <c r="AF42" s="4" t="n">
        <v>6.07857008062299</v>
      </c>
      <c r="AG42" s="4" t="s">
        <v>72</v>
      </c>
      <c r="AH42" s="2" t="n">
        <v>0.0203673417054044</v>
      </c>
      <c r="AI42" s="2" t="n">
        <v>0.0583346150506696</v>
      </c>
      <c r="AJ42" s="2" t="n">
        <v>1711603.66749729</v>
      </c>
      <c r="AK42" s="2" t="n">
        <v>2445005.7595243</v>
      </c>
      <c r="AL42" s="2" t="n">
        <v>551302.596524447</v>
      </c>
      <c r="AM42" s="2" t="n">
        <v>1303339.28132477</v>
      </c>
      <c r="AN42" s="2" t="n">
        <v>90072.7627819443</v>
      </c>
      <c r="AO42" s="2" t="n">
        <v>16881.1698416626</v>
      </c>
      <c r="AP42" s="2" t="n">
        <v>11328.2747605763</v>
      </c>
      <c r="AQ42" s="2" t="n">
        <v>7119.64573320935</v>
      </c>
      <c r="AR42" s="2" t="n">
        <v>42059.8819001722</v>
      </c>
      <c r="AS42" s="2" t="n">
        <v>12891.156116357</v>
      </c>
    </row>
    <row r="43">
      <c r="A43" s="2" t="s">
        <v>384</v>
      </c>
      <c r="B43" s="2" t="n">
        <v>372.145925895421</v>
      </c>
      <c r="C43" s="2" t="n">
        <v>7.67776666666667</v>
      </c>
      <c r="D43" s="2" t="s">
        <v>46</v>
      </c>
      <c r="E43" s="2" t="s">
        <v>385</v>
      </c>
      <c r="F43" s="2" t="n">
        <v>211801</v>
      </c>
      <c r="G43" s="5" t="str">
        <f>HYPERLINK("http://funmeta.oebiotech.com/network/211801", "http://funmeta.oebiotech.com/network/211801")</f>
      </c>
      <c r="H43" s="2" t="s">
        <v>386</v>
      </c>
      <c r="I43" s="2"/>
      <c r="J43" s="2"/>
      <c r="K43" s="2"/>
      <c r="L43" s="2"/>
      <c r="M43" s="2"/>
      <c r="N43" s="2"/>
      <c r="O43" s="2"/>
      <c r="P43" s="2"/>
      <c r="Q43" s="2" t="s">
        <v>387</v>
      </c>
      <c r="R43" s="2" t="s">
        <v>388</v>
      </c>
      <c r="S43" s="2" t="s">
        <v>147</v>
      </c>
      <c r="T43" s="2" t="s">
        <v>197</v>
      </c>
      <c r="U43" s="2" t="s">
        <v>77</v>
      </c>
      <c r="V43" s="2" t="s">
        <v>54</v>
      </c>
      <c r="W43" s="2" t="n">
        <v>38</v>
      </c>
      <c r="X43" s="2" t="n">
        <v>0</v>
      </c>
      <c r="Y43" s="2" t="s">
        <v>166</v>
      </c>
      <c r="Z43" s="2" t="s">
        <v>389</v>
      </c>
      <c r="AA43" s="2" t="n">
        <v>-1.80232626234522</v>
      </c>
      <c r="AB43" s="2" t="n">
        <v>3.02658655936778</v>
      </c>
      <c r="AC43" s="2" t="n">
        <v>313859.164810009</v>
      </c>
      <c r="AD43" s="2" t="n">
        <v>1381369.27086379</v>
      </c>
      <c r="AE43" s="3" t="n">
        <v>0.227208735151425</v>
      </c>
      <c r="AF43" s="3" t="n">
        <v>-2.13790979385907</v>
      </c>
      <c r="AG43" s="3" t="s">
        <v>57</v>
      </c>
      <c r="AH43" s="2" t="n">
        <v>0.00148650333153937</v>
      </c>
      <c r="AI43" s="2" t="n">
        <v>0.00890686045278188</v>
      </c>
      <c r="AJ43" s="2" t="n">
        <v>485849.420870947</v>
      </c>
      <c r="AK43" s="2" t="n">
        <v>140719.592074278</v>
      </c>
      <c r="AL43" s="2" t="n">
        <v>112183.344979124</v>
      </c>
      <c r="AM43" s="2" t="n">
        <v>811820.268830247</v>
      </c>
      <c r="AN43" s="2" t="n">
        <v>18723.1972954477</v>
      </c>
      <c r="AO43" s="2" t="n">
        <v>1242385.71845284</v>
      </c>
      <c r="AP43" s="2" t="n">
        <v>1320376.00471056</v>
      </c>
      <c r="AQ43" s="2" t="n">
        <v>1516524.9568557</v>
      </c>
      <c r="AR43" s="2" t="n">
        <v>893773.869817547</v>
      </c>
      <c r="AS43" s="2" t="n">
        <v>1933785.80448232</v>
      </c>
    </row>
    <row r="44">
      <c r="A44" s="2" t="s">
        <v>390</v>
      </c>
      <c r="B44" s="2" t="n">
        <v>294.137995450933</v>
      </c>
      <c r="C44" s="2" t="n">
        <v>5.86186666666667</v>
      </c>
      <c r="D44" s="2" t="s">
        <v>46</v>
      </c>
      <c r="E44" s="2" t="s">
        <v>391</v>
      </c>
      <c r="F44" s="2" t="n">
        <v>466422</v>
      </c>
      <c r="G44" s="5" t="str">
        <f>HYPERLINK("http://funmeta.oebiotech.com/network/466422", "http://funmeta.oebiotech.com/network/466422")</f>
      </c>
      <c r="H44" s="2"/>
      <c r="I44" s="2" t="n">
        <v>84953</v>
      </c>
      <c r="J44" s="2"/>
      <c r="K44" s="2"/>
      <c r="L44" s="2"/>
      <c r="M44" s="2"/>
      <c r="N44" s="2"/>
      <c r="O44" s="2" t="n">
        <v>176824</v>
      </c>
      <c r="P44" s="2" t="s">
        <v>392</v>
      </c>
      <c r="Q44" s="2" t="s">
        <v>393</v>
      </c>
      <c r="R44" s="2" t="s">
        <v>394</v>
      </c>
      <c r="S44" s="2" t="s">
        <v>51</v>
      </c>
      <c r="T44" s="2" t="s">
        <v>101</v>
      </c>
      <c r="U44" s="2" t="s">
        <v>395</v>
      </c>
      <c r="V44" s="2" t="s">
        <v>54</v>
      </c>
      <c r="W44" s="2" t="n">
        <v>37.9</v>
      </c>
      <c r="X44" s="2" t="n">
        <v>0</v>
      </c>
      <c r="Y44" s="2" t="s">
        <v>131</v>
      </c>
      <c r="Z44" s="2" t="s">
        <v>396</v>
      </c>
      <c r="AA44" s="2" t="n">
        <v>2.48466001482521</v>
      </c>
      <c r="AB44" s="2" t="n">
        <v>2.95556803592306</v>
      </c>
      <c r="AC44" s="2" t="n">
        <v>141957.461276219</v>
      </c>
      <c r="AD44" s="2" t="n">
        <v>1127382.12317954</v>
      </c>
      <c r="AE44" s="3" t="n">
        <v>0.125917786309986</v>
      </c>
      <c r="AF44" s="3" t="n">
        <v>-2.98944601191915</v>
      </c>
      <c r="AG44" s="3" t="s">
        <v>57</v>
      </c>
      <c r="AH44" s="2" t="n">
        <v>0.00242420770747903</v>
      </c>
      <c r="AI44" s="2" t="n">
        <v>0.0127178667554406</v>
      </c>
      <c r="AJ44" s="2" t="n">
        <v>213896.110581741</v>
      </c>
      <c r="AK44" s="2" t="n">
        <v>37516.1568864015</v>
      </c>
      <c r="AL44" s="2" t="n">
        <v>228519.787701041</v>
      </c>
      <c r="AM44" s="2" t="n">
        <v>218838.404131047</v>
      </c>
      <c r="AN44" s="2" t="n">
        <v>11016.8470808648</v>
      </c>
      <c r="AO44" s="2" t="n">
        <v>929706.775386776</v>
      </c>
      <c r="AP44" s="2" t="n">
        <v>887686.804427916</v>
      </c>
      <c r="AQ44" s="2" t="n">
        <v>1939100.04028474</v>
      </c>
      <c r="AR44" s="2" t="n">
        <v>665245.972554415</v>
      </c>
      <c r="AS44" s="2" t="n">
        <v>1215171.02324384</v>
      </c>
    </row>
    <row r="45">
      <c r="A45" s="2" t="s">
        <v>397</v>
      </c>
      <c r="B45" s="2" t="n">
        <v>318.174266550304</v>
      </c>
      <c r="C45" s="2" t="n">
        <v>8.49446666666667</v>
      </c>
      <c r="D45" s="2" t="s">
        <v>46</v>
      </c>
      <c r="E45" s="2" t="s">
        <v>398</v>
      </c>
      <c r="F45" s="2" t="n">
        <v>52932</v>
      </c>
      <c r="G45" s="5" t="str">
        <f>HYPERLINK("http://funmeta.oebiotech.com/network/52932", "http://funmeta.oebiotech.com/network/52932")</f>
      </c>
      <c r="H45" s="2" t="s">
        <v>399</v>
      </c>
      <c r="I45" s="2" t="n">
        <v>1725</v>
      </c>
      <c r="J45" s="2"/>
      <c r="K45" s="2" t="n">
        <v>3638</v>
      </c>
      <c r="L45" s="2" t="s">
        <v>400</v>
      </c>
      <c r="M45" s="2"/>
      <c r="N45" s="2"/>
      <c r="O45" s="2" t="n">
        <v>2719</v>
      </c>
      <c r="P45" s="2" t="s">
        <v>401</v>
      </c>
      <c r="Q45" s="2" t="s">
        <v>402</v>
      </c>
      <c r="R45" s="2" t="s">
        <v>403</v>
      </c>
      <c r="S45" s="2" t="s">
        <v>51</v>
      </c>
      <c r="T45" s="2" t="s">
        <v>227</v>
      </c>
      <c r="U45" s="2" t="s">
        <v>228</v>
      </c>
      <c r="V45" s="2" t="s">
        <v>54</v>
      </c>
      <c r="W45" s="2" t="n">
        <v>38.6</v>
      </c>
      <c r="X45" s="2" t="n">
        <v>19.2</v>
      </c>
      <c r="Y45" s="2" t="s">
        <v>290</v>
      </c>
      <c r="Z45" s="2" t="s">
        <v>404</v>
      </c>
      <c r="AA45" s="2" t="n">
        <v>0.0546212185765262</v>
      </c>
      <c r="AB45" s="2" t="n">
        <v>2.9375484075754</v>
      </c>
      <c r="AC45" s="2" t="n">
        <v>418770.032196513</v>
      </c>
      <c r="AD45" s="2" t="n">
        <v>1644177.46058891</v>
      </c>
      <c r="AE45" s="3" t="n">
        <v>0.254698803647702</v>
      </c>
      <c r="AF45" s="3" t="n">
        <v>-1.9731359117793</v>
      </c>
      <c r="AG45" s="3" t="s">
        <v>57</v>
      </c>
      <c r="AH45" s="2" t="n">
        <v>0.0453276113067777</v>
      </c>
      <c r="AI45" s="2" t="n">
        <v>0.0988536666385252</v>
      </c>
      <c r="AJ45" s="2" t="n">
        <v>1254630.99488085</v>
      </c>
      <c r="AK45" s="2" t="n">
        <v>81751.2134585068</v>
      </c>
      <c r="AL45" s="2" t="n">
        <v>541973.189471354</v>
      </c>
      <c r="AM45" s="2" t="n">
        <v>201069.639583897</v>
      </c>
      <c r="AN45" s="2" t="n">
        <v>14425.1235879558</v>
      </c>
      <c r="AO45" s="2" t="n">
        <v>3028536.85311732</v>
      </c>
      <c r="AP45" s="2" t="n">
        <v>883234.424308949</v>
      </c>
      <c r="AQ45" s="2" t="n">
        <v>1818242.50845325</v>
      </c>
      <c r="AR45" s="2" t="n">
        <v>388142.646642973</v>
      </c>
      <c r="AS45" s="2" t="n">
        <v>2102730.87042206</v>
      </c>
    </row>
    <row r="46">
      <c r="A46" s="2" t="s">
        <v>405</v>
      </c>
      <c r="B46" s="2" t="n">
        <v>524.115518275402</v>
      </c>
      <c r="C46" s="2" t="n">
        <v>6.79996666666667</v>
      </c>
      <c r="D46" s="2" t="s">
        <v>46</v>
      </c>
      <c r="E46" s="2" t="s">
        <v>406</v>
      </c>
      <c r="F46" s="2" t="n">
        <v>61541</v>
      </c>
      <c r="G46" s="5" t="str">
        <f>HYPERLINK("http://funmeta.oebiotech.com/network/61541", "http://funmeta.oebiotech.com/network/61541")</f>
      </c>
      <c r="H46" s="2" t="s">
        <v>407</v>
      </c>
      <c r="I46" s="2"/>
      <c r="J46" s="2"/>
      <c r="K46" s="2"/>
      <c r="L46" s="2"/>
      <c r="M46" s="2"/>
      <c r="N46" s="2"/>
      <c r="O46" s="2" t="n">
        <v>14311149</v>
      </c>
      <c r="P46" s="2" t="s">
        <v>408</v>
      </c>
      <c r="Q46" s="2" t="s">
        <v>409</v>
      </c>
      <c r="R46" s="2" t="s">
        <v>410</v>
      </c>
      <c r="S46" s="2" t="s">
        <v>158</v>
      </c>
      <c r="T46" s="2" t="s">
        <v>411</v>
      </c>
      <c r="U46" s="2" t="s">
        <v>412</v>
      </c>
      <c r="V46" s="2" t="s">
        <v>54</v>
      </c>
      <c r="W46" s="2" t="n">
        <v>37.2</v>
      </c>
      <c r="X46" s="2" t="n">
        <v>0</v>
      </c>
      <c r="Y46" s="2" t="s">
        <v>131</v>
      </c>
      <c r="Z46" s="2" t="s">
        <v>413</v>
      </c>
      <c r="AA46" s="2" t="n">
        <v>-3.4141144368978</v>
      </c>
      <c r="AB46" s="2" t="n">
        <v>2.93249251188577</v>
      </c>
      <c r="AC46" s="2" t="n">
        <v>980303.008187053</v>
      </c>
      <c r="AD46" s="2" t="n">
        <v>19971.3056978181</v>
      </c>
      <c r="AE46" s="4" t="n">
        <v>49.085574224331</v>
      </c>
      <c r="AF46" s="4" t="n">
        <v>5.61722718759554</v>
      </c>
      <c r="AG46" s="4" t="s">
        <v>72</v>
      </c>
      <c r="AH46" s="2" t="n">
        <v>0.0141829091976019</v>
      </c>
      <c r="AI46" s="2" t="n">
        <v>0.0455907009862574</v>
      </c>
      <c r="AJ46" s="2" t="n">
        <v>1864988.54642634</v>
      </c>
      <c r="AK46" s="2" t="n">
        <v>708987.304303852</v>
      </c>
      <c r="AL46" s="2" t="n">
        <v>678492.31337864</v>
      </c>
      <c r="AM46" s="2" t="n">
        <v>1492736.90153654</v>
      </c>
      <c r="AN46" s="2" t="n">
        <v>156309.975289892</v>
      </c>
      <c r="AO46" s="2" t="n">
        <v>14209.8145818756</v>
      </c>
      <c r="AP46" s="2" t="n">
        <v>16229.7016443511</v>
      </c>
      <c r="AQ46" s="2" t="n">
        <v>0.00000136409140715624</v>
      </c>
      <c r="AR46" s="2" t="n">
        <v>69417.0122601354</v>
      </c>
      <c r="AS46" s="2" t="n">
        <v>0.00000136409140715624</v>
      </c>
    </row>
    <row r="47">
      <c r="A47" s="2" t="s">
        <v>414</v>
      </c>
      <c r="B47" s="2" t="n">
        <v>233.14979638399</v>
      </c>
      <c r="C47" s="2" t="n">
        <v>2.84598333333333</v>
      </c>
      <c r="D47" s="2" t="s">
        <v>59</v>
      </c>
      <c r="E47" s="2" t="s">
        <v>415</v>
      </c>
      <c r="F47" s="2" t="n">
        <v>54075</v>
      </c>
      <c r="G47" s="5" t="str">
        <f>HYPERLINK("http://funmeta.oebiotech.com/network/54075", "http://funmeta.oebiotech.com/network/54075")</f>
      </c>
      <c r="H47" s="2" t="s">
        <v>416</v>
      </c>
      <c r="I47" s="2" t="n">
        <v>23987</v>
      </c>
      <c r="J47" s="2"/>
      <c r="K47" s="2" t="n">
        <v>141446</v>
      </c>
      <c r="L47" s="2"/>
      <c r="M47" s="2"/>
      <c r="N47" s="2"/>
      <c r="O47" s="2" t="n">
        <v>57281443</v>
      </c>
      <c r="P47" s="2" t="s">
        <v>417</v>
      </c>
      <c r="Q47" s="2" t="s">
        <v>418</v>
      </c>
      <c r="R47" s="2" t="s">
        <v>419</v>
      </c>
      <c r="S47" s="2" t="s">
        <v>110</v>
      </c>
      <c r="T47" s="2" t="s">
        <v>111</v>
      </c>
      <c r="U47" s="2" t="s">
        <v>112</v>
      </c>
      <c r="V47" s="2" t="s">
        <v>92</v>
      </c>
      <c r="W47" s="2" t="n">
        <v>57.3</v>
      </c>
      <c r="X47" s="2" t="n">
        <v>78.7</v>
      </c>
      <c r="Y47" s="2" t="s">
        <v>332</v>
      </c>
      <c r="Z47" s="2" t="s">
        <v>420</v>
      </c>
      <c r="AA47" s="2" t="n">
        <v>0.91677709506863</v>
      </c>
      <c r="AB47" s="2" t="n">
        <v>2.92208133639409</v>
      </c>
      <c r="AC47" s="2" t="n">
        <v>1070430.95958444</v>
      </c>
      <c r="AD47" s="2" t="n">
        <v>2206174.20327311</v>
      </c>
      <c r="AE47" s="3" t="n">
        <v>0.485197840676558</v>
      </c>
      <c r="AF47" s="3" t="n">
        <v>-1.0433549649816</v>
      </c>
      <c r="AG47" s="3" t="s">
        <v>57</v>
      </c>
      <c r="AH47" s="2" t="n">
        <v>0.0226622536955766</v>
      </c>
      <c r="AI47" s="2" t="n">
        <v>0.0625828495080484</v>
      </c>
      <c r="AJ47" s="2" t="n">
        <v>751723.412461167</v>
      </c>
      <c r="AK47" s="2" t="n">
        <v>1777054.68834581</v>
      </c>
      <c r="AL47" s="2" t="n">
        <v>1768662.12111311</v>
      </c>
      <c r="AM47" s="2" t="n">
        <v>962936.984817163</v>
      </c>
      <c r="AN47" s="2" t="n">
        <v>91777.591184945</v>
      </c>
      <c r="AO47" s="2" t="n">
        <v>1934552.25253627</v>
      </c>
      <c r="AP47" s="2" t="n">
        <v>1928797.94295936</v>
      </c>
      <c r="AQ47" s="2" t="n">
        <v>2679554.07755683</v>
      </c>
      <c r="AR47" s="2" t="n">
        <v>1603728.18878201</v>
      </c>
      <c r="AS47" s="2" t="n">
        <v>2884238.55453108</v>
      </c>
    </row>
    <row r="48">
      <c r="A48" s="2" t="s">
        <v>421</v>
      </c>
      <c r="B48" s="2" t="n">
        <v>380.147218928428</v>
      </c>
      <c r="C48" s="2" t="n">
        <v>7.03935</v>
      </c>
      <c r="D48" s="2" t="s">
        <v>59</v>
      </c>
      <c r="E48" s="2" t="s">
        <v>422</v>
      </c>
      <c r="F48" s="2" t="n">
        <v>255027</v>
      </c>
      <c r="G48" s="5" t="str">
        <f>HYPERLINK("http://funmeta.oebiotech.com/network/255027", "http://funmeta.oebiotech.com/network/255027")</f>
      </c>
      <c r="H48" s="2" t="s">
        <v>423</v>
      </c>
      <c r="I48" s="2" t="n">
        <v>71310</v>
      </c>
      <c r="J48" s="2"/>
      <c r="K48" s="2" t="n">
        <v>80702</v>
      </c>
      <c r="L48" s="2" t="s">
        <v>424</v>
      </c>
      <c r="M48" s="2"/>
      <c r="N48" s="2"/>
      <c r="O48" s="2" t="n">
        <v>3035235</v>
      </c>
      <c r="P48" s="2" t="s">
        <v>425</v>
      </c>
      <c r="Q48" s="2" t="s">
        <v>426</v>
      </c>
      <c r="R48" s="2" t="s">
        <v>427</v>
      </c>
      <c r="S48" s="2" t="s">
        <v>428</v>
      </c>
      <c r="T48" s="2" t="s">
        <v>77</v>
      </c>
      <c r="U48" s="2" t="s">
        <v>77</v>
      </c>
      <c r="V48" s="2" t="s">
        <v>54</v>
      </c>
      <c r="W48" s="2" t="n">
        <v>46.3</v>
      </c>
      <c r="X48" s="2" t="n">
        <v>34.9</v>
      </c>
      <c r="Y48" s="2" t="s">
        <v>267</v>
      </c>
      <c r="Z48" s="2" t="s">
        <v>429</v>
      </c>
      <c r="AA48" s="2" t="n">
        <v>0.65436973627123</v>
      </c>
      <c r="AB48" s="2" t="n">
        <v>2.91925828240824</v>
      </c>
      <c r="AC48" s="2" t="n">
        <v>996212.703167908</v>
      </c>
      <c r="AD48" s="2" t="n">
        <v>33505.5044425239</v>
      </c>
      <c r="AE48" s="4" t="n">
        <v>29.7328071832744</v>
      </c>
      <c r="AF48" s="4" t="n">
        <v>4.89398377468857</v>
      </c>
      <c r="AG48" s="4" t="s">
        <v>72</v>
      </c>
      <c r="AH48" s="2" t="n">
        <v>0.0172558977557551</v>
      </c>
      <c r="AI48" s="2" t="n">
        <v>0.0522042131382164</v>
      </c>
      <c r="AJ48" s="2" t="n">
        <v>1849038.45333567</v>
      </c>
      <c r="AK48" s="2" t="n">
        <v>1501257.01730733</v>
      </c>
      <c r="AL48" s="2" t="n">
        <v>302585.353364714</v>
      </c>
      <c r="AM48" s="2" t="n">
        <v>1102464.85978291</v>
      </c>
      <c r="AN48" s="2" t="n">
        <v>225717.832048916</v>
      </c>
      <c r="AO48" s="2" t="n">
        <v>30665.2370985272</v>
      </c>
      <c r="AP48" s="2" t="n">
        <v>18237.2100461018</v>
      </c>
      <c r="AQ48" s="2" t="n">
        <v>26682.347056216</v>
      </c>
      <c r="AR48" s="2" t="n">
        <v>35545.8529810121</v>
      </c>
      <c r="AS48" s="2" t="n">
        <v>56396.8750307624</v>
      </c>
    </row>
    <row r="49">
      <c r="A49" s="2" t="s">
        <v>430</v>
      </c>
      <c r="B49" s="2" t="n">
        <v>547.280211990876</v>
      </c>
      <c r="C49" s="2" t="n">
        <v>8.62756666666667</v>
      </c>
      <c r="D49" s="2" t="s">
        <v>46</v>
      </c>
      <c r="E49" s="2" t="s">
        <v>431</v>
      </c>
      <c r="F49" s="2" t="n">
        <v>55274</v>
      </c>
      <c r="G49" s="5" t="str">
        <f>HYPERLINK("http://funmeta.oebiotech.com/network/55274", "http://funmeta.oebiotech.com/network/55274")</f>
      </c>
      <c r="H49" s="2" t="s">
        <v>432</v>
      </c>
      <c r="I49" s="2"/>
      <c r="J49" s="2"/>
      <c r="K49" s="2"/>
      <c r="L49" s="2" t="s">
        <v>433</v>
      </c>
      <c r="M49" s="2"/>
      <c r="N49" s="2"/>
      <c r="O49" s="2" t="n">
        <v>131751023</v>
      </c>
      <c r="P49" s="2" t="s">
        <v>434</v>
      </c>
      <c r="Q49" s="2" t="s">
        <v>435</v>
      </c>
      <c r="R49" s="2" t="s">
        <v>436</v>
      </c>
      <c r="S49" s="2" t="s">
        <v>158</v>
      </c>
      <c r="T49" s="2" t="s">
        <v>437</v>
      </c>
      <c r="U49" s="2" t="s">
        <v>77</v>
      </c>
      <c r="V49" s="2" t="s">
        <v>54</v>
      </c>
      <c r="W49" s="2" t="n">
        <v>38.8</v>
      </c>
      <c r="X49" s="2" t="n">
        <v>1.02</v>
      </c>
      <c r="Y49" s="2" t="s">
        <v>438</v>
      </c>
      <c r="Z49" s="2" t="s">
        <v>439</v>
      </c>
      <c r="AA49" s="2" t="n">
        <v>2.71369498375987</v>
      </c>
      <c r="AB49" s="2" t="n">
        <v>2.88725295703732</v>
      </c>
      <c r="AC49" s="2" t="n">
        <v>1664419.60456012</v>
      </c>
      <c r="AD49" s="2" t="n">
        <v>624596.407008309</v>
      </c>
      <c r="AE49" s="4" t="n">
        <v>2.6647921535962</v>
      </c>
      <c r="AF49" s="4" t="n">
        <v>1.41402301115713</v>
      </c>
      <c r="AG49" s="4" t="s">
        <v>72</v>
      </c>
      <c r="AH49" s="2" t="n">
        <v>0.00923964340511724</v>
      </c>
      <c r="AI49" s="2" t="n">
        <v>0.0341173978285993</v>
      </c>
      <c r="AJ49" s="2" t="n">
        <v>2225408.6358006</v>
      </c>
      <c r="AK49" s="2" t="n">
        <v>977593.284064052</v>
      </c>
      <c r="AL49" s="2" t="n">
        <v>908958.875324265</v>
      </c>
      <c r="AM49" s="2" t="n">
        <v>1875507.81711877</v>
      </c>
      <c r="AN49" s="2" t="n">
        <v>2334629.41049293</v>
      </c>
      <c r="AO49" s="2" t="n">
        <v>576000.922116292</v>
      </c>
      <c r="AP49" s="2" t="n">
        <v>695274.276520702</v>
      </c>
      <c r="AQ49" s="2" t="n">
        <v>596354.060085272</v>
      </c>
      <c r="AR49" s="2" t="n">
        <v>658790.567014151</v>
      </c>
      <c r="AS49" s="2" t="n">
        <v>596562.20930513</v>
      </c>
    </row>
    <row r="50">
      <c r="A50" s="2" t="s">
        <v>440</v>
      </c>
      <c r="B50" s="2" t="n">
        <v>332.18184914295</v>
      </c>
      <c r="C50" s="2" t="n">
        <v>3.69355</v>
      </c>
      <c r="D50" s="2" t="s">
        <v>59</v>
      </c>
      <c r="E50" s="2" t="s">
        <v>441</v>
      </c>
      <c r="F50" s="2" t="n">
        <v>265337</v>
      </c>
      <c r="G50" s="5" t="str">
        <f>HYPERLINK("http://funmeta.oebiotech.com/network/265337", "http://funmeta.oebiotech.com/network/265337")</f>
      </c>
      <c r="H50" s="2"/>
      <c r="I50" s="2" t="n">
        <v>22824</v>
      </c>
      <c r="J50" s="2"/>
      <c r="K50" s="2"/>
      <c r="L50" s="2"/>
      <c r="M50" s="2"/>
      <c r="N50" s="2"/>
      <c r="O50" s="2" t="n">
        <v>145454621</v>
      </c>
      <c r="P50" s="2"/>
      <c r="Q50" s="2" t="s">
        <v>442</v>
      </c>
      <c r="R50" s="2" t="s">
        <v>443</v>
      </c>
      <c r="S50" s="2" t="s">
        <v>110</v>
      </c>
      <c r="T50" s="2" t="s">
        <v>111</v>
      </c>
      <c r="U50" s="2" t="s">
        <v>112</v>
      </c>
      <c r="V50" s="2" t="s">
        <v>92</v>
      </c>
      <c r="W50" s="2" t="n">
        <v>53.8</v>
      </c>
      <c r="X50" s="2" t="n">
        <v>60.5</v>
      </c>
      <c r="Y50" s="2" t="s">
        <v>248</v>
      </c>
      <c r="Z50" s="2" t="s">
        <v>444</v>
      </c>
      <c r="AA50" s="2" t="n">
        <v>0.716170955057266</v>
      </c>
      <c r="AB50" s="2" t="n">
        <v>2.7884853359824</v>
      </c>
      <c r="AC50" s="2" t="n">
        <v>421974.529112578</v>
      </c>
      <c r="AD50" s="2" t="n">
        <v>1263789.82417477</v>
      </c>
      <c r="AE50" s="3" t="n">
        <v>0.333896128169983</v>
      </c>
      <c r="AF50" s="3" t="n">
        <v>-1.58252873075363</v>
      </c>
      <c r="AG50" s="3" t="s">
        <v>57</v>
      </c>
      <c r="AH50" s="2" t="n">
        <v>0.000146791601178662</v>
      </c>
      <c r="AI50" s="2" t="n">
        <v>0.00183411254351165</v>
      </c>
      <c r="AJ50" s="2" t="n">
        <v>394417.998002729</v>
      </c>
      <c r="AK50" s="2" t="n">
        <v>487074.205432998</v>
      </c>
      <c r="AL50" s="2" t="n">
        <v>617989.711101178</v>
      </c>
      <c r="AM50" s="2" t="n">
        <v>525798.43930337</v>
      </c>
      <c r="AN50" s="2" t="n">
        <v>84592.2917226155</v>
      </c>
      <c r="AO50" s="2" t="n">
        <v>1169676.97467586</v>
      </c>
      <c r="AP50" s="2" t="n">
        <v>1230572.44389108</v>
      </c>
      <c r="AQ50" s="2" t="n">
        <v>1393265.65196673</v>
      </c>
      <c r="AR50" s="2" t="n">
        <v>1020447.82261155</v>
      </c>
      <c r="AS50" s="2" t="n">
        <v>1504986.22772862</v>
      </c>
    </row>
    <row r="51">
      <c r="A51" s="2" t="s">
        <v>445</v>
      </c>
      <c r="B51" s="2" t="n">
        <v>635.303779510864</v>
      </c>
      <c r="C51" s="2" t="n">
        <v>6.9395</v>
      </c>
      <c r="D51" s="2" t="s">
        <v>46</v>
      </c>
      <c r="E51" s="2" t="s">
        <v>446</v>
      </c>
      <c r="F51" s="2" t="n">
        <v>258198</v>
      </c>
      <c r="G51" s="5" t="str">
        <f>HYPERLINK("http://funmeta.oebiotech.com/network/258198", "http://funmeta.oebiotech.com/network/258198")</f>
      </c>
      <c r="H51" s="2"/>
      <c r="I51" s="2" t="n">
        <v>2949</v>
      </c>
      <c r="J51" s="2"/>
      <c r="K51" s="2"/>
      <c r="L51" s="2" t="s">
        <v>447</v>
      </c>
      <c r="M51" s="2"/>
      <c r="N51" s="2"/>
      <c r="O51" s="2" t="n">
        <v>5324346</v>
      </c>
      <c r="P51" s="2" t="s">
        <v>448</v>
      </c>
      <c r="Q51" s="2" t="s">
        <v>449</v>
      </c>
      <c r="R51" s="2" t="s">
        <v>450</v>
      </c>
      <c r="S51" s="2" t="s">
        <v>147</v>
      </c>
      <c r="T51" s="2" t="s">
        <v>148</v>
      </c>
      <c r="U51" s="2" t="s">
        <v>451</v>
      </c>
      <c r="V51" s="2" t="s">
        <v>122</v>
      </c>
      <c r="W51" s="2" t="n">
        <v>41.1</v>
      </c>
      <c r="X51" s="2" t="n">
        <v>0</v>
      </c>
      <c r="Y51" s="2" t="s">
        <v>85</v>
      </c>
      <c r="Z51" s="2" t="s">
        <v>452</v>
      </c>
      <c r="AA51" s="2" t="n">
        <v>0.0483701875377553</v>
      </c>
      <c r="AB51" s="2" t="n">
        <v>2.77103472629905</v>
      </c>
      <c r="AC51" s="2" t="n">
        <v>84439.2966136132</v>
      </c>
      <c r="AD51" s="2" t="n">
        <v>1216132.02809021</v>
      </c>
      <c r="AE51" s="3" t="n">
        <v>0.0694326723277035</v>
      </c>
      <c r="AF51" s="3" t="n">
        <v>-3.84824149075828</v>
      </c>
      <c r="AG51" s="3" t="s">
        <v>57</v>
      </c>
      <c r="AH51" s="2" t="n">
        <v>0.0476368405536151</v>
      </c>
      <c r="AI51" s="2" t="n">
        <v>0.101436004957916</v>
      </c>
      <c r="AJ51" s="2" t="n">
        <v>155904.554801324</v>
      </c>
      <c r="AK51" s="2" t="n">
        <v>13078.1019951486</v>
      </c>
      <c r="AL51" s="2" t="n">
        <v>72034.6536066961</v>
      </c>
      <c r="AM51" s="2" t="n">
        <v>181179.172663533</v>
      </c>
      <c r="AN51" s="2" t="n">
        <v>0.00000136409140715624</v>
      </c>
      <c r="AO51" s="2" t="n">
        <v>394594.247218195</v>
      </c>
      <c r="AP51" s="2" t="n">
        <v>356004.224041378</v>
      </c>
      <c r="AQ51" s="2" t="n">
        <v>2978913.84355807</v>
      </c>
      <c r="AR51" s="2" t="n">
        <v>913264.654982842</v>
      </c>
      <c r="AS51" s="2" t="n">
        <v>1437883.17065057</v>
      </c>
    </row>
    <row r="52">
      <c r="A52" s="2" t="s">
        <v>453</v>
      </c>
      <c r="B52" s="2" t="n">
        <v>263.139689731959</v>
      </c>
      <c r="C52" s="2" t="n">
        <v>4.05783333333333</v>
      </c>
      <c r="D52" s="2" t="s">
        <v>59</v>
      </c>
      <c r="E52" s="2" t="s">
        <v>454</v>
      </c>
      <c r="F52" s="2" t="n">
        <v>266227</v>
      </c>
      <c r="G52" s="5" t="str">
        <f>HYPERLINK("http://funmeta.oebiotech.com/network/266227", "http://funmeta.oebiotech.com/network/266227")</f>
      </c>
      <c r="H52" s="2" t="s">
        <v>455</v>
      </c>
      <c r="I52" s="2" t="n">
        <v>23997</v>
      </c>
      <c r="J52" s="2"/>
      <c r="K52" s="2"/>
      <c r="L52" s="2"/>
      <c r="M52" s="2"/>
      <c r="N52" s="2"/>
      <c r="O52" s="2" t="n">
        <v>44369313</v>
      </c>
      <c r="P52" s="2" t="s">
        <v>456</v>
      </c>
      <c r="Q52" s="2" t="s">
        <v>457</v>
      </c>
      <c r="R52" s="2" t="s">
        <v>458</v>
      </c>
      <c r="S52" s="2" t="s">
        <v>110</v>
      </c>
      <c r="T52" s="2" t="s">
        <v>111</v>
      </c>
      <c r="U52" s="2" t="s">
        <v>112</v>
      </c>
      <c r="V52" s="2" t="s">
        <v>92</v>
      </c>
      <c r="W52" s="2" t="n">
        <v>50.6</v>
      </c>
      <c r="X52" s="2" t="n">
        <v>49.8</v>
      </c>
      <c r="Y52" s="2" t="s">
        <v>248</v>
      </c>
      <c r="Z52" s="2" t="s">
        <v>459</v>
      </c>
      <c r="AA52" s="2" t="n">
        <v>2.55922618347249</v>
      </c>
      <c r="AB52" s="2" t="n">
        <v>2.72154670608764</v>
      </c>
      <c r="AC52" s="2" t="n">
        <v>200700.717310237</v>
      </c>
      <c r="AD52" s="2" t="n">
        <v>1217795.77232633</v>
      </c>
      <c r="AE52" s="3" t="n">
        <v>0.164806547921284</v>
      </c>
      <c r="AF52" s="3" t="n">
        <v>-2.601154531578</v>
      </c>
      <c r="AG52" s="3" t="s">
        <v>57</v>
      </c>
      <c r="AH52" s="2" t="n">
        <v>0.0483259413081845</v>
      </c>
      <c r="AI52" s="2" t="n">
        <v>0.102166282250787</v>
      </c>
      <c r="AJ52" s="2" t="n">
        <v>77329.5783246679</v>
      </c>
      <c r="AK52" s="2" t="n">
        <v>412139.124709771</v>
      </c>
      <c r="AL52" s="2" t="n">
        <v>253861.552027098</v>
      </c>
      <c r="AM52" s="2" t="n">
        <v>229478.812315518</v>
      </c>
      <c r="AN52" s="2" t="n">
        <v>30694.5191741324</v>
      </c>
      <c r="AO52" s="2" t="n">
        <v>660927.192878765</v>
      </c>
      <c r="AP52" s="2" t="n">
        <v>620768.955658956</v>
      </c>
      <c r="AQ52" s="2" t="n">
        <v>2815342.44706522</v>
      </c>
      <c r="AR52" s="2" t="n">
        <v>543991.502590196</v>
      </c>
      <c r="AS52" s="2" t="n">
        <v>1447948.76343853</v>
      </c>
    </row>
    <row r="53">
      <c r="A53" s="2" t="s">
        <v>460</v>
      </c>
      <c r="B53" s="2" t="n">
        <v>1056.43749383412</v>
      </c>
      <c r="C53" s="2" t="n">
        <v>6.15455</v>
      </c>
      <c r="D53" s="2" t="s">
        <v>59</v>
      </c>
      <c r="E53" s="2" t="s">
        <v>461</v>
      </c>
      <c r="F53" s="2" t="n">
        <v>47749</v>
      </c>
      <c r="G53" s="5" t="str">
        <f>HYPERLINK("http://funmeta.oebiotech.com/network/47749", "http://funmeta.oebiotech.com/network/47749")</f>
      </c>
      <c r="H53" s="2" t="s">
        <v>462</v>
      </c>
      <c r="I53" s="2" t="n">
        <v>6414</v>
      </c>
      <c r="J53" s="2"/>
      <c r="K53" s="2"/>
      <c r="L53" s="2" t="s">
        <v>463</v>
      </c>
      <c r="M53" s="2"/>
      <c r="N53" s="2"/>
      <c r="O53" s="2" t="n">
        <v>53477739</v>
      </c>
      <c r="P53" s="2" t="s">
        <v>464</v>
      </c>
      <c r="Q53" s="2" t="s">
        <v>465</v>
      </c>
      <c r="R53" s="2" t="s">
        <v>466</v>
      </c>
      <c r="S53" s="2" t="s">
        <v>110</v>
      </c>
      <c r="T53" s="2" t="s">
        <v>111</v>
      </c>
      <c r="U53" s="2" t="s">
        <v>112</v>
      </c>
      <c r="V53" s="2" t="s">
        <v>69</v>
      </c>
      <c r="W53" s="2" t="n">
        <v>49.6</v>
      </c>
      <c r="X53" s="2" t="n">
        <v>57.3</v>
      </c>
      <c r="Y53" s="2" t="s">
        <v>332</v>
      </c>
      <c r="Z53" s="2" t="s">
        <v>467</v>
      </c>
      <c r="AA53" s="2" t="n">
        <v>-1.41096723068147</v>
      </c>
      <c r="AB53" s="2" t="n">
        <v>2.62958808258707</v>
      </c>
      <c r="AC53" s="2" t="n">
        <v>1204.01115546033</v>
      </c>
      <c r="AD53" s="2" t="n">
        <v>722280.345500186</v>
      </c>
      <c r="AE53" s="3" t="n">
        <v>0.00166695821499412</v>
      </c>
      <c r="AF53" s="3" t="n">
        <v>-9.22856634337094</v>
      </c>
      <c r="AG53" s="3" t="s">
        <v>57</v>
      </c>
      <c r="AH53" s="2" t="n">
        <v>0.00000135901733087247</v>
      </c>
      <c r="AI53" s="2" t="n">
        <v>0.000291400515714136</v>
      </c>
      <c r="AJ53" s="2" t="n">
        <v>1237.21623603276</v>
      </c>
      <c r="AK53" s="2" t="n">
        <v>9.24536575484264</v>
      </c>
      <c r="AL53" s="2" t="n">
        <v>2415.73529286923</v>
      </c>
      <c r="AM53" s="2" t="n">
        <v>13.282830265935</v>
      </c>
      <c r="AN53" s="2" t="n">
        <v>2344.57605237886</v>
      </c>
      <c r="AO53" s="2" t="n">
        <v>693813.077508848</v>
      </c>
      <c r="AP53" s="2" t="n">
        <v>551074.054718128</v>
      </c>
      <c r="AQ53" s="2" t="n">
        <v>890479.873602338</v>
      </c>
      <c r="AR53" s="2" t="n">
        <v>788907.224003827</v>
      </c>
      <c r="AS53" s="2" t="n">
        <v>687127.497667791</v>
      </c>
    </row>
    <row r="54">
      <c r="A54" s="2" t="s">
        <v>468</v>
      </c>
      <c r="B54" s="2" t="n">
        <v>148.060490157813</v>
      </c>
      <c r="C54" s="2" t="n">
        <v>0.700516666666667</v>
      </c>
      <c r="D54" s="2" t="s">
        <v>59</v>
      </c>
      <c r="E54" s="2" t="s">
        <v>469</v>
      </c>
      <c r="F54" s="2" t="n">
        <v>46895</v>
      </c>
      <c r="G54" s="5" t="str">
        <f>HYPERLINK("http://funmeta.oebiotech.com/network/46895", "http://funmeta.oebiotech.com/network/46895")</f>
      </c>
      <c r="H54" s="2" t="s">
        <v>470</v>
      </c>
      <c r="I54" s="2" t="n">
        <v>19</v>
      </c>
      <c r="J54" s="2"/>
      <c r="K54" s="2" t="n">
        <v>16015</v>
      </c>
      <c r="L54" s="2" t="s">
        <v>471</v>
      </c>
      <c r="M54" s="2" t="s">
        <v>472</v>
      </c>
      <c r="N54" s="2" t="s">
        <v>473</v>
      </c>
      <c r="O54" s="2" t="n">
        <v>33032</v>
      </c>
      <c r="P54" s="2" t="s">
        <v>474</v>
      </c>
      <c r="Q54" s="2" t="s">
        <v>475</v>
      </c>
      <c r="R54" s="2" t="s">
        <v>476</v>
      </c>
      <c r="S54" s="2" t="s">
        <v>110</v>
      </c>
      <c r="T54" s="2" t="s">
        <v>111</v>
      </c>
      <c r="U54" s="2" t="s">
        <v>112</v>
      </c>
      <c r="V54" s="2" t="s">
        <v>92</v>
      </c>
      <c r="W54" s="2" t="n">
        <v>53.6</v>
      </c>
      <c r="X54" s="2" t="n">
        <v>61.8</v>
      </c>
      <c r="Y54" s="2" t="s">
        <v>304</v>
      </c>
      <c r="Z54" s="2" t="s">
        <v>477</v>
      </c>
      <c r="AA54" s="2" t="n">
        <v>0.380502828955054</v>
      </c>
      <c r="AB54" s="2" t="n">
        <v>2.61194048348566</v>
      </c>
      <c r="AC54" s="2" t="n">
        <v>1464193.7975736</v>
      </c>
      <c r="AD54" s="2" t="n">
        <v>454262.208164308</v>
      </c>
      <c r="AE54" s="4" t="n">
        <v>3.22323488782054</v>
      </c>
      <c r="AF54" s="4" t="n">
        <v>1.68850932620268</v>
      </c>
      <c r="AG54" s="4" t="s">
        <v>72</v>
      </c>
      <c r="AH54" s="2" t="n">
        <v>0.0447210621663693</v>
      </c>
      <c r="AI54" s="2" t="n">
        <v>0.098078660873458</v>
      </c>
      <c r="AJ54" s="2" t="n">
        <v>2274095.98790559</v>
      </c>
      <c r="AK54" s="2" t="n">
        <v>510834.96389882</v>
      </c>
      <c r="AL54" s="2" t="n">
        <v>545056.802057461</v>
      </c>
      <c r="AM54" s="2" t="n">
        <v>1465187.79713099</v>
      </c>
      <c r="AN54" s="2" t="n">
        <v>2525793.43687512</v>
      </c>
      <c r="AO54" s="2" t="n">
        <v>351511.097745526</v>
      </c>
      <c r="AP54" s="2" t="n">
        <v>373576.74128402</v>
      </c>
      <c r="AQ54" s="2" t="n">
        <v>407512.090562544</v>
      </c>
      <c r="AR54" s="2" t="n">
        <v>454142.277885441</v>
      </c>
      <c r="AS54" s="2" t="n">
        <v>684568.833344009</v>
      </c>
    </row>
    <row r="55">
      <c r="A55" s="2" t="s">
        <v>478</v>
      </c>
      <c r="B55" s="2" t="n">
        <v>231.17067025045</v>
      </c>
      <c r="C55" s="2" t="n">
        <v>3.34991666666667</v>
      </c>
      <c r="D55" s="2" t="s">
        <v>59</v>
      </c>
      <c r="E55" s="2" t="s">
        <v>479</v>
      </c>
      <c r="F55" s="2" t="n">
        <v>266156</v>
      </c>
      <c r="G55" s="5" t="str">
        <f>HYPERLINK("http://funmeta.oebiotech.com/network/266156", "http://funmeta.oebiotech.com/network/266156")</f>
      </c>
      <c r="H55" s="2"/>
      <c r="I55" s="2" t="n">
        <v>23788</v>
      </c>
      <c r="J55" s="2"/>
      <c r="K55" s="2"/>
      <c r="L55" s="2"/>
      <c r="M55" s="2"/>
      <c r="N55" s="2"/>
      <c r="O55" s="2" t="n">
        <v>449407</v>
      </c>
      <c r="P55" s="2"/>
      <c r="Q55" s="2" t="s">
        <v>480</v>
      </c>
      <c r="R55" s="2" t="s">
        <v>481</v>
      </c>
      <c r="S55" s="2" t="s">
        <v>110</v>
      </c>
      <c r="T55" s="2" t="s">
        <v>111</v>
      </c>
      <c r="U55" s="2" t="s">
        <v>112</v>
      </c>
      <c r="V55" s="2" t="s">
        <v>92</v>
      </c>
      <c r="W55" s="2" t="n">
        <v>53.9</v>
      </c>
      <c r="X55" s="2" t="n">
        <v>66.9</v>
      </c>
      <c r="Y55" s="2" t="s">
        <v>332</v>
      </c>
      <c r="Z55" s="2" t="s">
        <v>237</v>
      </c>
      <c r="AA55" s="2" t="n">
        <v>1.52606876602833</v>
      </c>
      <c r="AB55" s="2" t="n">
        <v>2.57159128569512</v>
      </c>
      <c r="AC55" s="2" t="n">
        <v>535664.797692058</v>
      </c>
      <c r="AD55" s="2" t="n">
        <v>1508254.31909631</v>
      </c>
      <c r="AE55" s="3" t="n">
        <v>0.355155487313975</v>
      </c>
      <c r="AF55" s="3" t="n">
        <v>-1.49347731909897</v>
      </c>
      <c r="AG55" s="3" t="s">
        <v>57</v>
      </c>
      <c r="AH55" s="2" t="n">
        <v>0.0380166384224012</v>
      </c>
      <c r="AI55" s="2" t="n">
        <v>0.0883777773817944</v>
      </c>
      <c r="AJ55" s="2" t="n">
        <v>481568.865497263</v>
      </c>
      <c r="AK55" s="2" t="n">
        <v>807021.064505783</v>
      </c>
      <c r="AL55" s="2" t="n">
        <v>685213.707465085</v>
      </c>
      <c r="AM55" s="2" t="n">
        <v>599653.237330917</v>
      </c>
      <c r="AN55" s="2" t="n">
        <v>104867.113661244</v>
      </c>
      <c r="AO55" s="2" t="n">
        <v>632614.344942071</v>
      </c>
      <c r="AP55" s="2" t="n">
        <v>1228875.89977211</v>
      </c>
      <c r="AQ55" s="2" t="n">
        <v>2056714.27251981</v>
      </c>
      <c r="AR55" s="2" t="n">
        <v>958932.107258672</v>
      </c>
      <c r="AS55" s="2" t="n">
        <v>2664134.9709889</v>
      </c>
    </row>
    <row r="56">
      <c r="A56" s="2" t="s">
        <v>482</v>
      </c>
      <c r="B56" s="2" t="n">
        <v>255.133871411483</v>
      </c>
      <c r="C56" s="2" t="n">
        <v>0.749333333333333</v>
      </c>
      <c r="D56" s="2" t="s">
        <v>59</v>
      </c>
      <c r="E56" s="2" t="s">
        <v>483</v>
      </c>
      <c r="F56" s="2" t="n">
        <v>54350</v>
      </c>
      <c r="G56" s="5" t="str">
        <f>HYPERLINK("http://funmeta.oebiotech.com/network/54350", "http://funmeta.oebiotech.com/network/54350")</f>
      </c>
      <c r="H56" s="2" t="s">
        <v>484</v>
      </c>
      <c r="I56" s="2" t="n">
        <v>86236</v>
      </c>
      <c r="J56" s="2"/>
      <c r="K56" s="2"/>
      <c r="L56" s="2"/>
      <c r="M56" s="2"/>
      <c r="N56" s="2"/>
      <c r="O56" s="2" t="n">
        <v>14497053</v>
      </c>
      <c r="P56" s="2" t="s">
        <v>485</v>
      </c>
      <c r="Q56" s="2" t="s">
        <v>486</v>
      </c>
      <c r="R56" s="2" t="s">
        <v>487</v>
      </c>
      <c r="S56" s="2" t="s">
        <v>110</v>
      </c>
      <c r="T56" s="2" t="s">
        <v>111</v>
      </c>
      <c r="U56" s="2" t="s">
        <v>112</v>
      </c>
      <c r="V56" s="2" t="s">
        <v>54</v>
      </c>
      <c r="W56" s="2" t="n">
        <v>46</v>
      </c>
      <c r="X56" s="2" t="n">
        <v>34.9</v>
      </c>
      <c r="Y56" s="2" t="s">
        <v>248</v>
      </c>
      <c r="Z56" s="2" t="s">
        <v>488</v>
      </c>
      <c r="AA56" s="2" t="n">
        <v>-0.244309736197401</v>
      </c>
      <c r="AB56" s="2" t="n">
        <v>2.55968720928785</v>
      </c>
      <c r="AC56" s="2" t="n">
        <v>777753.432186417</v>
      </c>
      <c r="AD56" s="2" t="n">
        <v>16422.6928852173</v>
      </c>
      <c r="AE56" s="4" t="n">
        <v>47.3584592747576</v>
      </c>
      <c r="AF56" s="4" t="n">
        <v>5.56555024103954</v>
      </c>
      <c r="AG56" s="4" t="s">
        <v>72</v>
      </c>
      <c r="AH56" s="2" t="n">
        <v>0.00826523841746656</v>
      </c>
      <c r="AI56" s="2" t="n">
        <v>0.0316150764532337</v>
      </c>
      <c r="AJ56" s="2" t="n">
        <v>1437272.18273906</v>
      </c>
      <c r="AK56" s="2" t="n">
        <v>292272.425387791</v>
      </c>
      <c r="AL56" s="2" t="n">
        <v>406066.947674084</v>
      </c>
      <c r="AM56" s="2" t="n">
        <v>625905.239718562</v>
      </c>
      <c r="AN56" s="2" t="n">
        <v>1127250.36541259</v>
      </c>
      <c r="AO56" s="2" t="n">
        <v>5340.64788961795</v>
      </c>
      <c r="AP56" s="2" t="n">
        <v>20666.8121943258</v>
      </c>
      <c r="AQ56" s="2" t="n">
        <v>9196.729687577</v>
      </c>
      <c r="AR56" s="2" t="n">
        <v>38871.6234561576</v>
      </c>
      <c r="AS56" s="2" t="n">
        <v>8037.65119840837</v>
      </c>
    </row>
    <row r="57">
      <c r="A57" s="2" t="s">
        <v>489</v>
      </c>
      <c r="B57" s="2" t="n">
        <v>617.292944911964</v>
      </c>
      <c r="C57" s="2" t="n">
        <v>7.0963</v>
      </c>
      <c r="D57" s="2" t="s">
        <v>46</v>
      </c>
      <c r="E57" s="2" t="s">
        <v>490</v>
      </c>
      <c r="F57" s="2" t="n">
        <v>24869</v>
      </c>
      <c r="G57" s="5" t="str">
        <f>HYPERLINK("http://funmeta.oebiotech.com/network/24869", "http://funmeta.oebiotech.com/network/24869")</f>
      </c>
      <c r="H57" s="2" t="s">
        <v>491</v>
      </c>
      <c r="I57" s="2"/>
      <c r="J57" s="2" t="s">
        <v>492</v>
      </c>
      <c r="K57" s="2" t="n">
        <v>73218</v>
      </c>
      <c r="L57" s="2"/>
      <c r="M57" s="2"/>
      <c r="N57" s="2"/>
      <c r="O57" s="2" t="n">
        <v>42607493</v>
      </c>
      <c r="P57" s="2" t="s">
        <v>493</v>
      </c>
      <c r="Q57" s="2" t="s">
        <v>494</v>
      </c>
      <c r="R57" s="2" t="s">
        <v>495</v>
      </c>
      <c r="S57" s="2" t="s">
        <v>66</v>
      </c>
      <c r="T57" s="2" t="s">
        <v>129</v>
      </c>
      <c r="U57" s="2" t="s">
        <v>130</v>
      </c>
      <c r="V57" s="2" t="s">
        <v>54</v>
      </c>
      <c r="W57" s="2" t="n">
        <v>36.8</v>
      </c>
      <c r="X57" s="2" t="n">
        <v>0</v>
      </c>
      <c r="Y57" s="2" t="s">
        <v>131</v>
      </c>
      <c r="Z57" s="2" t="s">
        <v>496</v>
      </c>
      <c r="AA57" s="2" t="n">
        <v>-2.48401837429888</v>
      </c>
      <c r="AB57" s="2" t="n">
        <v>2.54008992549113</v>
      </c>
      <c r="AC57" s="2" t="n">
        <v>19923.1892711135</v>
      </c>
      <c r="AD57" s="2" t="n">
        <v>834408.473042264</v>
      </c>
      <c r="AE57" s="3" t="n">
        <v>0.0238770217642605</v>
      </c>
      <c r="AF57" s="3" t="n">
        <v>-5.38823329261458</v>
      </c>
      <c r="AG57" s="3" t="s">
        <v>57</v>
      </c>
      <c r="AH57" s="2" t="n">
        <v>0.0267992128628578</v>
      </c>
      <c r="AI57" s="2" t="n">
        <v>0.0703914779813297</v>
      </c>
      <c r="AJ57" s="2" t="n">
        <v>42833.8635565728</v>
      </c>
      <c r="AK57" s="2" t="n">
        <v>0.00000136409140715624</v>
      </c>
      <c r="AL57" s="2" t="n">
        <v>52258.8265731793</v>
      </c>
      <c r="AM57" s="2" t="n">
        <v>4523.25622308715</v>
      </c>
      <c r="AN57" s="2" t="n">
        <v>0.00000136409140715624</v>
      </c>
      <c r="AO57" s="2" t="n">
        <v>825926.833006286</v>
      </c>
      <c r="AP57" s="2" t="n">
        <v>489328.641447593</v>
      </c>
      <c r="AQ57" s="2" t="n">
        <v>883846.148202521</v>
      </c>
      <c r="AR57" s="2" t="n">
        <v>80739.8878904917</v>
      </c>
      <c r="AS57" s="2" t="n">
        <v>1892200.85466443</v>
      </c>
    </row>
    <row r="58">
      <c r="A58" s="2" t="s">
        <v>497</v>
      </c>
      <c r="B58" s="2" t="n">
        <v>229.155203550013</v>
      </c>
      <c r="C58" s="2" t="n">
        <v>3.82696666666667</v>
      </c>
      <c r="D58" s="2" t="s">
        <v>46</v>
      </c>
      <c r="E58" s="2" t="s">
        <v>498</v>
      </c>
      <c r="F58" s="2" t="n">
        <v>54141</v>
      </c>
      <c r="G58" s="5" t="str">
        <f>HYPERLINK("http://funmeta.oebiotech.com/network/54141", "http://funmeta.oebiotech.com/network/54141")</f>
      </c>
      <c r="H58" s="2" t="s">
        <v>499</v>
      </c>
      <c r="I58" s="2" t="n">
        <v>23923</v>
      </c>
      <c r="J58" s="2"/>
      <c r="K58" s="2" t="n">
        <v>75012</v>
      </c>
      <c r="L58" s="2"/>
      <c r="M58" s="2"/>
      <c r="N58" s="2"/>
      <c r="O58" s="2" t="n">
        <v>7010531</v>
      </c>
      <c r="P58" s="2" t="s">
        <v>500</v>
      </c>
      <c r="Q58" s="2" t="s">
        <v>501</v>
      </c>
      <c r="R58" s="2" t="s">
        <v>502</v>
      </c>
      <c r="S58" s="2" t="s">
        <v>110</v>
      </c>
      <c r="T58" s="2" t="s">
        <v>111</v>
      </c>
      <c r="U58" s="2" t="s">
        <v>112</v>
      </c>
      <c r="V58" s="2" t="s">
        <v>92</v>
      </c>
      <c r="W58" s="2" t="n">
        <v>67.1</v>
      </c>
      <c r="X58" s="2" t="n">
        <v>74.4</v>
      </c>
      <c r="Y58" s="2" t="s">
        <v>55</v>
      </c>
      <c r="Z58" s="2" t="s">
        <v>237</v>
      </c>
      <c r="AA58" s="2" t="n">
        <v>-2.44431860305212</v>
      </c>
      <c r="AB58" s="2" t="n">
        <v>2.53640068340884</v>
      </c>
      <c r="AC58" s="2" t="n">
        <v>493804.050126344</v>
      </c>
      <c r="AD58" s="2" t="n">
        <v>1233866.53002171</v>
      </c>
      <c r="AE58" s="3" t="n">
        <v>0.400208643407854</v>
      </c>
      <c r="AF58" s="3" t="n">
        <v>-1.32117576905553</v>
      </c>
      <c r="AG58" s="3" t="s">
        <v>57</v>
      </c>
      <c r="AH58" s="2" t="n">
        <v>0.00352604244164146</v>
      </c>
      <c r="AI58" s="2" t="n">
        <v>0.0170202707644308</v>
      </c>
      <c r="AJ58" s="2" t="n">
        <v>326187.783844796</v>
      </c>
      <c r="AK58" s="2" t="n">
        <v>738600.435932997</v>
      </c>
      <c r="AL58" s="2" t="n">
        <v>819633.977222064</v>
      </c>
      <c r="AM58" s="2" t="n">
        <v>516930.146505228</v>
      </c>
      <c r="AN58" s="2" t="n">
        <v>67667.9071266371</v>
      </c>
      <c r="AO58" s="2" t="n">
        <v>1120680.63033116</v>
      </c>
      <c r="AP58" s="2" t="n">
        <v>1117862.90735148</v>
      </c>
      <c r="AQ58" s="2" t="n">
        <v>1471687.95710199</v>
      </c>
      <c r="AR58" s="2" t="n">
        <v>914653.793265373</v>
      </c>
      <c r="AS58" s="2" t="n">
        <v>1544447.36205854</v>
      </c>
    </row>
    <row r="59">
      <c r="A59" s="2" t="s">
        <v>503</v>
      </c>
      <c r="B59" s="2" t="n">
        <v>346.197430683232</v>
      </c>
      <c r="C59" s="2" t="n">
        <v>4.18698333333333</v>
      </c>
      <c r="D59" s="2" t="s">
        <v>59</v>
      </c>
      <c r="E59" s="2" t="s">
        <v>504</v>
      </c>
      <c r="F59" s="2" t="n">
        <v>262175</v>
      </c>
      <c r="G59" s="5" t="str">
        <f>HYPERLINK("http://funmeta.oebiotech.com/network/262175", "http://funmeta.oebiotech.com/network/262175")</f>
      </c>
      <c r="H59" s="2"/>
      <c r="I59" s="2" t="n">
        <v>19526</v>
      </c>
      <c r="J59" s="2"/>
      <c r="K59" s="2"/>
      <c r="L59" s="2"/>
      <c r="M59" s="2"/>
      <c r="N59" s="2"/>
      <c r="O59" s="2" t="n">
        <v>145454488</v>
      </c>
      <c r="P59" s="2"/>
      <c r="Q59" s="2" t="s">
        <v>505</v>
      </c>
      <c r="R59" s="2" t="s">
        <v>506</v>
      </c>
      <c r="S59" s="2" t="s">
        <v>110</v>
      </c>
      <c r="T59" s="2" t="s">
        <v>111</v>
      </c>
      <c r="U59" s="2" t="s">
        <v>112</v>
      </c>
      <c r="V59" s="2" t="s">
        <v>92</v>
      </c>
      <c r="W59" s="2" t="n">
        <v>57.9</v>
      </c>
      <c r="X59" s="2" t="n">
        <v>66.7</v>
      </c>
      <c r="Y59" s="2" t="s">
        <v>248</v>
      </c>
      <c r="Z59" s="2" t="s">
        <v>507</v>
      </c>
      <c r="AA59" s="2" t="n">
        <v>0.488581908356881</v>
      </c>
      <c r="AB59" s="2" t="n">
        <v>2.52900759835641</v>
      </c>
      <c r="AC59" s="2" t="n">
        <v>141581.478855493</v>
      </c>
      <c r="AD59" s="2" t="n">
        <v>801496.479832715</v>
      </c>
      <c r="AE59" s="3" t="n">
        <v>0.176646413824603</v>
      </c>
      <c r="AF59" s="3" t="n">
        <v>-2.50106363413872</v>
      </c>
      <c r="AG59" s="3" t="s">
        <v>57</v>
      </c>
      <c r="AH59" s="2" t="n">
        <v>0.000027891727315865</v>
      </c>
      <c r="AI59" s="2" t="n">
        <v>0.000703940042646087</v>
      </c>
      <c r="AJ59" s="2" t="n">
        <v>29854.1806827318</v>
      </c>
      <c r="AK59" s="2" t="n">
        <v>285735.111030477</v>
      </c>
      <c r="AL59" s="2" t="n">
        <v>319149.978538369</v>
      </c>
      <c r="AM59" s="2" t="n">
        <v>72123.6906334493</v>
      </c>
      <c r="AN59" s="2" t="n">
        <v>1044.43339243549</v>
      </c>
      <c r="AO59" s="2" t="n">
        <v>797227.151458911</v>
      </c>
      <c r="AP59" s="2" t="n">
        <v>738325.519647061</v>
      </c>
      <c r="AQ59" s="2" t="n">
        <v>941704.084984013</v>
      </c>
      <c r="AR59" s="2" t="n">
        <v>717375.288504964</v>
      </c>
      <c r="AS59" s="2" t="n">
        <v>812850.354568625</v>
      </c>
    </row>
    <row r="60">
      <c r="A60" s="2" t="s">
        <v>508</v>
      </c>
      <c r="B60" s="2" t="n">
        <v>189.123597614318</v>
      </c>
      <c r="C60" s="2" t="n">
        <v>2.81061666666667</v>
      </c>
      <c r="D60" s="2" t="s">
        <v>59</v>
      </c>
      <c r="E60" s="2" t="s">
        <v>509</v>
      </c>
      <c r="F60" s="2" t="n">
        <v>53873</v>
      </c>
      <c r="G60" s="5" t="str">
        <f>HYPERLINK("http://funmeta.oebiotech.com/network/53873", "http://funmeta.oebiotech.com/network/53873")</f>
      </c>
      <c r="H60" s="2" t="s">
        <v>510</v>
      </c>
      <c r="I60" s="2"/>
      <c r="J60" s="2"/>
      <c r="K60" s="2"/>
      <c r="L60" s="2"/>
      <c r="M60" s="2"/>
      <c r="N60" s="2"/>
      <c r="O60" s="2" t="n">
        <v>259613</v>
      </c>
      <c r="P60" s="2"/>
      <c r="Q60" s="2" t="s">
        <v>511</v>
      </c>
      <c r="R60" s="2" t="s">
        <v>512</v>
      </c>
      <c r="S60" s="2" t="s">
        <v>110</v>
      </c>
      <c r="T60" s="2" t="s">
        <v>111</v>
      </c>
      <c r="U60" s="2" t="s">
        <v>112</v>
      </c>
      <c r="V60" s="2" t="s">
        <v>92</v>
      </c>
      <c r="W60" s="2" t="n">
        <v>58.4</v>
      </c>
      <c r="X60" s="2" t="n">
        <v>87.6</v>
      </c>
      <c r="Y60" s="2" t="s">
        <v>236</v>
      </c>
      <c r="Z60" s="2" t="s">
        <v>513</v>
      </c>
      <c r="AA60" s="2" t="n">
        <v>1.21627509291044</v>
      </c>
      <c r="AB60" s="2" t="n">
        <v>2.49900728210504</v>
      </c>
      <c r="AC60" s="2" t="n">
        <v>1499183.39727208</v>
      </c>
      <c r="AD60" s="2" t="n">
        <v>2384082.70877918</v>
      </c>
      <c r="AE60" s="3" t="n">
        <v>0.628830279986286</v>
      </c>
      <c r="AF60" s="3" t="n">
        <v>-0.669257405703276</v>
      </c>
      <c r="AG60" s="3" t="s">
        <v>57</v>
      </c>
      <c r="AH60" s="2" t="n">
        <v>0.00786121612811054</v>
      </c>
      <c r="AI60" s="2" t="n">
        <v>0.0306294724140477</v>
      </c>
      <c r="AJ60" s="2" t="n">
        <v>1664327.95930971</v>
      </c>
      <c r="AK60" s="2" t="n">
        <v>1844248.79910016</v>
      </c>
      <c r="AL60" s="2" t="n">
        <v>1992025.2681724</v>
      </c>
      <c r="AM60" s="2" t="n">
        <v>1345605.7475009</v>
      </c>
      <c r="AN60" s="2" t="n">
        <v>649709.212277218</v>
      </c>
      <c r="AO60" s="2" t="n">
        <v>2244880.73792522</v>
      </c>
      <c r="AP60" s="2" t="n">
        <v>2266446.82331205</v>
      </c>
      <c r="AQ60" s="2" t="n">
        <v>2484012.0840414</v>
      </c>
      <c r="AR60" s="2" t="n">
        <v>2268920.06838058</v>
      </c>
      <c r="AS60" s="2" t="n">
        <v>2656153.83023667</v>
      </c>
    </row>
    <row r="61">
      <c r="A61" s="2" t="s">
        <v>514</v>
      </c>
      <c r="B61" s="2" t="n">
        <v>201.123545018444</v>
      </c>
      <c r="C61" s="2" t="n">
        <v>2.78228333333333</v>
      </c>
      <c r="D61" s="2" t="s">
        <v>46</v>
      </c>
      <c r="E61" s="2" t="s">
        <v>515</v>
      </c>
      <c r="F61" s="2" t="n">
        <v>53731</v>
      </c>
      <c r="G61" s="5" t="str">
        <f>HYPERLINK("http://funmeta.oebiotech.com/network/53731", "http://funmeta.oebiotech.com/network/53731")</f>
      </c>
      <c r="H61" s="2" t="s">
        <v>516</v>
      </c>
      <c r="I61" s="2" t="n">
        <v>44268</v>
      </c>
      <c r="J61" s="2"/>
      <c r="K61" s="2" t="n">
        <v>73770</v>
      </c>
      <c r="L61" s="2"/>
      <c r="M61" s="2"/>
      <c r="N61" s="2"/>
      <c r="O61" s="2" t="n">
        <v>96801</v>
      </c>
      <c r="P61" s="2" t="s">
        <v>517</v>
      </c>
      <c r="Q61" s="2" t="s">
        <v>518</v>
      </c>
      <c r="R61" s="2" t="s">
        <v>519</v>
      </c>
      <c r="S61" s="2" t="s">
        <v>110</v>
      </c>
      <c r="T61" s="2" t="s">
        <v>111</v>
      </c>
      <c r="U61" s="2" t="s">
        <v>112</v>
      </c>
      <c r="V61" s="2" t="s">
        <v>69</v>
      </c>
      <c r="W61" s="2" t="n">
        <v>56.6</v>
      </c>
      <c r="X61" s="2" t="n">
        <v>91.4</v>
      </c>
      <c r="Y61" s="2" t="s">
        <v>290</v>
      </c>
      <c r="Z61" s="2" t="s">
        <v>520</v>
      </c>
      <c r="AA61" s="2" t="n">
        <v>-4.55641001801269</v>
      </c>
      <c r="AB61" s="2" t="n">
        <v>2.47833366072875</v>
      </c>
      <c r="AC61" s="2" t="n">
        <v>430480.082818296</v>
      </c>
      <c r="AD61" s="2" t="n">
        <v>1115795.22137727</v>
      </c>
      <c r="AE61" s="3" t="n">
        <v>0.385805634018524</v>
      </c>
      <c r="AF61" s="3" t="n">
        <v>-1.37405388330119</v>
      </c>
      <c r="AG61" s="3" t="s">
        <v>57</v>
      </c>
      <c r="AH61" s="2" t="n">
        <v>0.00131520140616367</v>
      </c>
      <c r="AI61" s="2" t="n">
        <v>0.00818416528076794</v>
      </c>
      <c r="AJ61" s="2" t="n">
        <v>320544.691970697</v>
      </c>
      <c r="AK61" s="2" t="n">
        <v>623863.777066599</v>
      </c>
      <c r="AL61" s="2" t="n">
        <v>786937.785708483</v>
      </c>
      <c r="AM61" s="2" t="n">
        <v>350692.643754357</v>
      </c>
      <c r="AN61" s="2" t="n">
        <v>70361.5155913422</v>
      </c>
      <c r="AO61" s="2" t="n">
        <v>1181988.43171624</v>
      </c>
      <c r="AP61" s="2" t="n">
        <v>1026401.84985902</v>
      </c>
      <c r="AQ61" s="2" t="n">
        <v>1292230.96555418</v>
      </c>
      <c r="AR61" s="2" t="n">
        <v>905278.224525856</v>
      </c>
      <c r="AS61" s="2" t="n">
        <v>1173076.63523104</v>
      </c>
    </row>
    <row r="62">
      <c r="A62" s="2" t="s">
        <v>521</v>
      </c>
      <c r="B62" s="2" t="n">
        <v>332.218365830744</v>
      </c>
      <c r="C62" s="2" t="n">
        <v>3.46303333333333</v>
      </c>
      <c r="D62" s="2" t="s">
        <v>59</v>
      </c>
      <c r="E62" s="2" t="s">
        <v>522</v>
      </c>
      <c r="F62" s="2" t="n">
        <v>263659</v>
      </c>
      <c r="G62" s="5" t="str">
        <f>HYPERLINK("http://funmeta.oebiotech.com/network/263659", "http://funmeta.oebiotech.com/network/263659")</f>
      </c>
      <c r="H62" s="2"/>
      <c r="I62" s="2" t="n">
        <v>21085</v>
      </c>
      <c r="J62" s="2"/>
      <c r="K62" s="2"/>
      <c r="L62" s="2"/>
      <c r="M62" s="2"/>
      <c r="N62" s="2"/>
      <c r="O62" s="2" t="n">
        <v>145458958</v>
      </c>
      <c r="P62" s="2"/>
      <c r="Q62" s="2" t="s">
        <v>523</v>
      </c>
      <c r="R62" s="2" t="s">
        <v>524</v>
      </c>
      <c r="S62" s="2" t="s">
        <v>77</v>
      </c>
      <c r="T62" s="2" t="s">
        <v>77</v>
      </c>
      <c r="U62" s="2" t="s">
        <v>77</v>
      </c>
      <c r="V62" s="2" t="s">
        <v>92</v>
      </c>
      <c r="W62" s="2" t="n">
        <v>54.9</v>
      </c>
      <c r="X62" s="2" t="n">
        <v>60.6</v>
      </c>
      <c r="Y62" s="2" t="s">
        <v>236</v>
      </c>
      <c r="Z62" s="2" t="s">
        <v>525</v>
      </c>
      <c r="AA62" s="2" t="n">
        <v>1.11215154263179</v>
      </c>
      <c r="AB62" s="2" t="n">
        <v>2.44303690730879</v>
      </c>
      <c r="AC62" s="2" t="n">
        <v>72086.6763840294</v>
      </c>
      <c r="AD62" s="2" t="n">
        <v>668815.55539634</v>
      </c>
      <c r="AE62" s="3" t="n">
        <v>0.107782595369378</v>
      </c>
      <c r="AF62" s="3" t="n">
        <v>-3.21380386300764</v>
      </c>
      <c r="AG62" s="3" t="s">
        <v>57</v>
      </c>
      <c r="AH62" s="2" t="n">
        <v>0.00000710761343961647</v>
      </c>
      <c r="AI62" s="2" t="n">
        <v>0.000434588248123855</v>
      </c>
      <c r="AJ62" s="2" t="n">
        <v>24368.045510863</v>
      </c>
      <c r="AK62" s="2" t="n">
        <v>122234.65553147</v>
      </c>
      <c r="AL62" s="2" t="n">
        <v>158274.507276839</v>
      </c>
      <c r="AM62" s="2" t="n">
        <v>54580.8709840862</v>
      </c>
      <c r="AN62" s="2" t="n">
        <v>975.302616889002</v>
      </c>
      <c r="AO62" s="2" t="n">
        <v>745255.971501601</v>
      </c>
      <c r="AP62" s="2" t="n">
        <v>665887.512067916</v>
      </c>
      <c r="AQ62" s="2" t="n">
        <v>770302.826215385</v>
      </c>
      <c r="AR62" s="2" t="n">
        <v>484188.121009855</v>
      </c>
      <c r="AS62" s="2" t="n">
        <v>678443.346186941</v>
      </c>
    </row>
    <row r="63">
      <c r="A63" s="2" t="s">
        <v>526</v>
      </c>
      <c r="B63" s="2" t="n">
        <v>627.275460706601</v>
      </c>
      <c r="C63" s="2" t="n">
        <v>7.95555</v>
      </c>
      <c r="D63" s="2" t="s">
        <v>46</v>
      </c>
      <c r="E63" s="2" t="s">
        <v>527</v>
      </c>
      <c r="F63" s="2" t="n">
        <v>47720</v>
      </c>
      <c r="G63" s="5" t="str">
        <f>HYPERLINK("http://funmeta.oebiotech.com/network/47720", "http://funmeta.oebiotech.com/network/47720")</f>
      </c>
      <c r="H63" s="2" t="s">
        <v>528</v>
      </c>
      <c r="I63" s="2" t="n">
        <v>2249</v>
      </c>
      <c r="J63" s="2"/>
      <c r="K63" s="2" t="n">
        <v>8776</v>
      </c>
      <c r="L63" s="2" t="s">
        <v>529</v>
      </c>
      <c r="M63" s="2"/>
      <c r="N63" s="2"/>
      <c r="O63" s="2" t="n">
        <v>3001055</v>
      </c>
      <c r="P63" s="2" t="s">
        <v>530</v>
      </c>
      <c r="Q63" s="2" t="s">
        <v>531</v>
      </c>
      <c r="R63" s="2" t="s">
        <v>532</v>
      </c>
      <c r="S63" s="2" t="s">
        <v>255</v>
      </c>
      <c r="T63" s="2" t="s">
        <v>256</v>
      </c>
      <c r="U63" s="2" t="s">
        <v>283</v>
      </c>
      <c r="V63" s="2" t="s">
        <v>54</v>
      </c>
      <c r="W63" s="2" t="n">
        <v>44</v>
      </c>
      <c r="X63" s="2" t="n">
        <v>36.6</v>
      </c>
      <c r="Y63" s="2" t="s">
        <v>85</v>
      </c>
      <c r="Z63" s="2" t="s">
        <v>533</v>
      </c>
      <c r="AA63" s="2" t="n">
        <v>0.340566151207838</v>
      </c>
      <c r="AB63" s="2" t="n">
        <v>2.38957726640343</v>
      </c>
      <c r="AC63" s="2" t="n">
        <v>0.00000136409140715624</v>
      </c>
      <c r="AD63" s="2" t="n">
        <v>638470.807101604</v>
      </c>
      <c r="AE63" s="3" t="n">
        <v>0.00000000000213649769415246</v>
      </c>
      <c r="AF63" s="3" t="n">
        <v>-38.767889378679</v>
      </c>
      <c r="AG63" s="3" t="s">
        <v>57</v>
      </c>
      <c r="AH63" s="2" t="n">
        <v>0.00936362424562477</v>
      </c>
      <c r="AI63" s="2" t="n">
        <v>0.0343040969759443</v>
      </c>
      <c r="AJ63" s="2" t="n">
        <v>0.00000136409140715624</v>
      </c>
      <c r="AK63" s="2" t="n">
        <v>0.00000136409140715624</v>
      </c>
      <c r="AL63" s="2" t="n">
        <v>0.00000136409140715624</v>
      </c>
      <c r="AM63" s="2" t="n">
        <v>0.00000136409140715624</v>
      </c>
      <c r="AN63" s="2" t="n">
        <v>0.00000136409140715624</v>
      </c>
      <c r="AO63" s="2" t="n">
        <v>1187682.05532</v>
      </c>
      <c r="AP63" s="2" t="n">
        <v>619630.995301946</v>
      </c>
      <c r="AQ63" s="2" t="n">
        <v>862130.549325803</v>
      </c>
      <c r="AR63" s="2" t="n">
        <v>75619.8338166738</v>
      </c>
      <c r="AS63" s="2" t="n">
        <v>447290.601743599</v>
      </c>
    </row>
    <row r="64">
      <c r="A64" s="2" t="s">
        <v>534</v>
      </c>
      <c r="B64" s="2" t="n">
        <v>639.275551625277</v>
      </c>
      <c r="C64" s="2" t="n">
        <v>7.1146</v>
      </c>
      <c r="D64" s="2" t="s">
        <v>46</v>
      </c>
      <c r="E64" s="2" t="s">
        <v>535</v>
      </c>
      <c r="F64" s="2" t="n">
        <v>29102</v>
      </c>
      <c r="G64" s="5" t="str">
        <f>HYPERLINK("http://funmeta.oebiotech.com/network/29102", "http://funmeta.oebiotech.com/network/29102")</f>
      </c>
      <c r="H64" s="2"/>
      <c r="I64" s="2" t="n">
        <v>47498</v>
      </c>
      <c r="J64" s="2" t="s">
        <v>536</v>
      </c>
      <c r="K64" s="2"/>
      <c r="L64" s="2"/>
      <c r="M64" s="2"/>
      <c r="N64" s="2"/>
      <c r="O64" s="2" t="n">
        <v>44257204</v>
      </c>
      <c r="P64" s="2"/>
      <c r="Q64" s="2" t="s">
        <v>537</v>
      </c>
      <c r="R64" s="2" t="s">
        <v>538</v>
      </c>
      <c r="S64" s="2" t="s">
        <v>158</v>
      </c>
      <c r="T64" s="2" t="s">
        <v>411</v>
      </c>
      <c r="U64" s="2" t="s">
        <v>539</v>
      </c>
      <c r="V64" s="2" t="s">
        <v>54</v>
      </c>
      <c r="W64" s="2" t="n">
        <v>39.1</v>
      </c>
      <c r="X64" s="2" t="n">
        <v>0.0209</v>
      </c>
      <c r="Y64" s="2" t="s">
        <v>85</v>
      </c>
      <c r="Z64" s="2" t="s">
        <v>540</v>
      </c>
      <c r="AA64" s="2" t="n">
        <v>0.529543010823945</v>
      </c>
      <c r="AB64" s="2" t="n">
        <v>2.37139526518038</v>
      </c>
      <c r="AC64" s="2" t="n">
        <v>44932.4783345421</v>
      </c>
      <c r="AD64" s="2" t="n">
        <v>765575.297264964</v>
      </c>
      <c r="AE64" s="3" t="n">
        <v>0.0586911287433966</v>
      </c>
      <c r="AF64" s="3" t="n">
        <v>-4.09071373558961</v>
      </c>
      <c r="AG64" s="3" t="s">
        <v>57</v>
      </c>
      <c r="AH64" s="2" t="n">
        <v>0.0261626531606685</v>
      </c>
      <c r="AI64" s="2" t="n">
        <v>0.0692858263506159</v>
      </c>
      <c r="AJ64" s="2" t="n">
        <v>13172.1222758609</v>
      </c>
      <c r="AK64" s="2" t="n">
        <v>0.00000136409140715624</v>
      </c>
      <c r="AL64" s="2" t="n">
        <v>163303.282596337</v>
      </c>
      <c r="AM64" s="2" t="n">
        <v>38886.5788379922</v>
      </c>
      <c r="AN64" s="2" t="n">
        <v>9300.40796115648</v>
      </c>
      <c r="AO64" s="2" t="n">
        <v>734499.15556311</v>
      </c>
      <c r="AP64" s="2" t="n">
        <v>616861.976955876</v>
      </c>
      <c r="AQ64" s="2" t="n">
        <v>607578.602914377</v>
      </c>
      <c r="AR64" s="2" t="n">
        <v>135012.544006837</v>
      </c>
      <c r="AS64" s="2" t="n">
        <v>1733924.20688462</v>
      </c>
    </row>
    <row r="65">
      <c r="A65" s="2" t="s">
        <v>541</v>
      </c>
      <c r="B65" s="2" t="n">
        <v>368.114370288666</v>
      </c>
      <c r="C65" s="2" t="n">
        <v>7.04415</v>
      </c>
      <c r="D65" s="2" t="s">
        <v>46</v>
      </c>
      <c r="E65" s="2" t="s">
        <v>542</v>
      </c>
      <c r="F65" s="2" t="n">
        <v>57602</v>
      </c>
      <c r="G65" s="5" t="str">
        <f>HYPERLINK("http://funmeta.oebiotech.com/network/57602", "http://funmeta.oebiotech.com/network/57602")</f>
      </c>
      <c r="H65" s="2" t="s">
        <v>543</v>
      </c>
      <c r="I65" s="2" t="n">
        <v>89202</v>
      </c>
      <c r="J65" s="2"/>
      <c r="K65" s="2"/>
      <c r="L65" s="2"/>
      <c r="M65" s="2"/>
      <c r="N65" s="2"/>
      <c r="O65" s="2" t="n">
        <v>6440260</v>
      </c>
      <c r="P65" s="2" t="s">
        <v>544</v>
      </c>
      <c r="Q65" s="2" t="s">
        <v>545</v>
      </c>
      <c r="R65" s="2" t="s">
        <v>546</v>
      </c>
      <c r="S65" s="2" t="s">
        <v>428</v>
      </c>
      <c r="T65" s="2" t="s">
        <v>547</v>
      </c>
      <c r="U65" s="2" t="s">
        <v>77</v>
      </c>
      <c r="V65" s="2" t="s">
        <v>54</v>
      </c>
      <c r="W65" s="2" t="n">
        <v>38.1</v>
      </c>
      <c r="X65" s="2" t="n">
        <v>0</v>
      </c>
      <c r="Y65" s="2" t="s">
        <v>131</v>
      </c>
      <c r="Z65" s="2" t="s">
        <v>548</v>
      </c>
      <c r="AA65" s="2" t="n">
        <v>1.26700857387958</v>
      </c>
      <c r="AB65" s="2" t="n">
        <v>2.37091374616211</v>
      </c>
      <c r="AC65" s="2" t="n">
        <v>327408.158559799</v>
      </c>
      <c r="AD65" s="2" t="n">
        <v>1111720.02072971</v>
      </c>
      <c r="AE65" s="3" t="n">
        <v>0.294505947949822</v>
      </c>
      <c r="AF65" s="3" t="n">
        <v>-1.76363132334077</v>
      </c>
      <c r="AG65" s="3" t="s">
        <v>57</v>
      </c>
      <c r="AH65" s="2" t="n">
        <v>0.007416683418258</v>
      </c>
      <c r="AI65" s="2" t="n">
        <v>0.0295256554558369</v>
      </c>
      <c r="AJ65" s="2" t="n">
        <v>622053.589343026</v>
      </c>
      <c r="AK65" s="2" t="n">
        <v>40739.4707498042</v>
      </c>
      <c r="AL65" s="2" t="n">
        <v>302935.275357697</v>
      </c>
      <c r="AM65" s="2" t="n">
        <v>637260.655769516</v>
      </c>
      <c r="AN65" s="2" t="n">
        <v>34051.8015789499</v>
      </c>
      <c r="AO65" s="2" t="n">
        <v>1225650.01587722</v>
      </c>
      <c r="AP65" s="2" t="n">
        <v>1709162.89978752</v>
      </c>
      <c r="AQ65" s="2" t="n">
        <v>892252.235324548</v>
      </c>
      <c r="AR65" s="2" t="n">
        <v>664736.182521751</v>
      </c>
      <c r="AS65" s="2" t="n">
        <v>1066798.7701375</v>
      </c>
    </row>
    <row r="66">
      <c r="A66" s="2" t="s">
        <v>549</v>
      </c>
      <c r="B66" s="2" t="n">
        <v>304.150587169696</v>
      </c>
      <c r="C66" s="2" t="n">
        <v>1.51451666666667</v>
      </c>
      <c r="D66" s="2" t="s">
        <v>59</v>
      </c>
      <c r="E66" s="2" t="s">
        <v>550</v>
      </c>
      <c r="F66" s="2" t="n">
        <v>62700</v>
      </c>
      <c r="G66" s="5" t="str">
        <f>HYPERLINK("http://funmeta.oebiotech.com/network/62700", "http://funmeta.oebiotech.com/network/62700")</f>
      </c>
      <c r="H66" s="2" t="s">
        <v>551</v>
      </c>
      <c r="I66" s="2" t="n">
        <v>93997</v>
      </c>
      <c r="J66" s="2"/>
      <c r="K66" s="2" t="n">
        <v>168581</v>
      </c>
      <c r="L66" s="2"/>
      <c r="M66" s="2"/>
      <c r="N66" s="2"/>
      <c r="O66" s="2" t="n">
        <v>131752643</v>
      </c>
      <c r="P66" s="2" t="s">
        <v>552</v>
      </c>
      <c r="Q66" s="2" t="s">
        <v>553</v>
      </c>
      <c r="R66" s="2" t="s">
        <v>554</v>
      </c>
      <c r="S66" s="2" t="s">
        <v>110</v>
      </c>
      <c r="T66" s="2" t="s">
        <v>111</v>
      </c>
      <c r="U66" s="2" t="s">
        <v>112</v>
      </c>
      <c r="V66" s="2" t="s">
        <v>69</v>
      </c>
      <c r="W66" s="2" t="n">
        <v>51.3</v>
      </c>
      <c r="X66" s="2" t="n">
        <v>60.3</v>
      </c>
      <c r="Y66" s="2" t="s">
        <v>304</v>
      </c>
      <c r="Z66" s="2" t="s">
        <v>555</v>
      </c>
      <c r="AA66" s="2" t="n">
        <v>0.908259248577551</v>
      </c>
      <c r="AB66" s="2" t="n">
        <v>2.36021695421786</v>
      </c>
      <c r="AC66" s="2" t="n">
        <v>357621.402948911</v>
      </c>
      <c r="AD66" s="2" t="n">
        <v>981134.99245919</v>
      </c>
      <c r="AE66" s="3" t="n">
        <v>0.364497653939079</v>
      </c>
      <c r="AF66" s="3" t="n">
        <v>-1.45601856610017</v>
      </c>
      <c r="AG66" s="3" t="s">
        <v>57</v>
      </c>
      <c r="AH66" s="2" t="n">
        <v>0.0000863649521870668</v>
      </c>
      <c r="AI66" s="2" t="n">
        <v>0.00130369368964297</v>
      </c>
      <c r="AJ66" s="2" t="n">
        <v>327408.201261468</v>
      </c>
      <c r="AK66" s="2" t="n">
        <v>478833.835139466</v>
      </c>
      <c r="AL66" s="2" t="n">
        <v>520451.960275623</v>
      </c>
      <c r="AM66" s="2" t="n">
        <v>394005.32744057</v>
      </c>
      <c r="AN66" s="2" t="n">
        <v>67407.6906274258</v>
      </c>
      <c r="AO66" s="2" t="n">
        <v>917214.061120212</v>
      </c>
      <c r="AP66" s="2" t="n">
        <v>1054886.81322913</v>
      </c>
      <c r="AQ66" s="2" t="n">
        <v>993859.880182025</v>
      </c>
      <c r="AR66" s="2" t="n">
        <v>900909.852171025</v>
      </c>
      <c r="AS66" s="2" t="n">
        <v>1038804.35559356</v>
      </c>
    </row>
    <row r="67">
      <c r="A67" s="2" t="s">
        <v>556</v>
      </c>
      <c r="B67" s="2" t="n">
        <v>247.128851550372</v>
      </c>
      <c r="C67" s="2" t="n">
        <v>0.813633333333333</v>
      </c>
      <c r="D67" s="2" t="s">
        <v>59</v>
      </c>
      <c r="E67" s="2" t="s">
        <v>557</v>
      </c>
      <c r="F67" s="2" t="n">
        <v>54137</v>
      </c>
      <c r="G67" s="5" t="str">
        <f>HYPERLINK("http://funmeta.oebiotech.com/network/54137", "http://funmeta.oebiotech.com/network/54137")</f>
      </c>
      <c r="H67" s="2" t="s">
        <v>558</v>
      </c>
      <c r="I67" s="2" t="n">
        <v>23976</v>
      </c>
      <c r="J67" s="2"/>
      <c r="K67" s="2" t="n">
        <v>75011</v>
      </c>
      <c r="L67" s="2"/>
      <c r="M67" s="2"/>
      <c r="N67" s="2"/>
      <c r="O67" s="2" t="n">
        <v>7009623</v>
      </c>
      <c r="P67" s="2" t="s">
        <v>559</v>
      </c>
      <c r="Q67" s="2" t="s">
        <v>560</v>
      </c>
      <c r="R67" s="2" t="s">
        <v>561</v>
      </c>
      <c r="S67" s="2" t="s">
        <v>110</v>
      </c>
      <c r="T67" s="2" t="s">
        <v>111</v>
      </c>
      <c r="U67" s="2" t="s">
        <v>112</v>
      </c>
      <c r="V67" s="2" t="s">
        <v>92</v>
      </c>
      <c r="W67" s="2" t="n">
        <v>56.4</v>
      </c>
      <c r="X67" s="2" t="n">
        <v>77.7</v>
      </c>
      <c r="Y67" s="2" t="s">
        <v>236</v>
      </c>
      <c r="Z67" s="2" t="s">
        <v>291</v>
      </c>
      <c r="AA67" s="2" t="n">
        <v>0.0139512838011195</v>
      </c>
      <c r="AB67" s="2" t="n">
        <v>2.33638800016458</v>
      </c>
      <c r="AC67" s="2" t="n">
        <v>348755.895878252</v>
      </c>
      <c r="AD67" s="2" t="n">
        <v>957049.552786373</v>
      </c>
      <c r="AE67" s="3" t="n">
        <v>0.364407354731923</v>
      </c>
      <c r="AF67" s="3" t="n">
        <v>-1.45637601794225</v>
      </c>
      <c r="AG67" s="3" t="s">
        <v>57</v>
      </c>
      <c r="AH67" s="2" t="n">
        <v>0.000376329947729882</v>
      </c>
      <c r="AI67" s="2" t="n">
        <v>0.00344577108390173</v>
      </c>
      <c r="AJ67" s="2" t="n">
        <v>288347.339074995</v>
      </c>
      <c r="AK67" s="2" t="n">
        <v>504562.912747613</v>
      </c>
      <c r="AL67" s="2" t="n">
        <v>535543.719937949</v>
      </c>
      <c r="AM67" s="2" t="n">
        <v>309519.4940039</v>
      </c>
      <c r="AN67" s="2" t="n">
        <v>105806.013626805</v>
      </c>
      <c r="AO67" s="2" t="n">
        <v>827169.713499065</v>
      </c>
      <c r="AP67" s="2" t="n">
        <v>945910.241322347</v>
      </c>
      <c r="AQ67" s="2" t="n">
        <v>1033738.22306756</v>
      </c>
      <c r="AR67" s="2" t="n">
        <v>806434.052817454</v>
      </c>
      <c r="AS67" s="2" t="n">
        <v>1171995.53322544</v>
      </c>
    </row>
    <row r="68">
      <c r="A68" s="2" t="s">
        <v>562</v>
      </c>
      <c r="B68" s="2" t="n">
        <v>144.102019512269</v>
      </c>
      <c r="C68" s="2" t="n">
        <v>0.764783333333333</v>
      </c>
      <c r="D68" s="2" t="s">
        <v>59</v>
      </c>
      <c r="E68" s="2" t="s">
        <v>563</v>
      </c>
      <c r="F68" s="2" t="n">
        <v>198612</v>
      </c>
      <c r="G68" s="5" t="str">
        <f>HYPERLINK("http://funmeta.oebiotech.com/network/198612", "http://funmeta.oebiotech.com/network/198612")</f>
      </c>
      <c r="H68" s="2" t="s">
        <v>564</v>
      </c>
      <c r="I68" s="2"/>
      <c r="J68" s="2"/>
      <c r="K68" s="2"/>
      <c r="L68" s="2"/>
      <c r="M68" s="2"/>
      <c r="N68" s="2"/>
      <c r="O68" s="2" t="n">
        <v>11286529</v>
      </c>
      <c r="P68" s="2"/>
      <c r="Q68" s="2" t="s">
        <v>565</v>
      </c>
      <c r="R68" s="2" t="s">
        <v>566</v>
      </c>
      <c r="S68" s="2" t="s">
        <v>110</v>
      </c>
      <c r="T68" s="2" t="s">
        <v>111</v>
      </c>
      <c r="U68" s="2" t="s">
        <v>112</v>
      </c>
      <c r="V68" s="2" t="s">
        <v>92</v>
      </c>
      <c r="W68" s="2" t="n">
        <v>65.9</v>
      </c>
      <c r="X68" s="2" t="n">
        <v>92.1</v>
      </c>
      <c r="Y68" s="2" t="s">
        <v>248</v>
      </c>
      <c r="Z68" s="2" t="s">
        <v>567</v>
      </c>
      <c r="AA68" s="2" t="n">
        <v>0.79960680615074</v>
      </c>
      <c r="AB68" s="2" t="n">
        <v>2.31942483058689</v>
      </c>
      <c r="AC68" s="2" t="n">
        <v>981698.121676631</v>
      </c>
      <c r="AD68" s="2" t="n">
        <v>303222.885931064</v>
      </c>
      <c r="AE68" s="4" t="n">
        <v>3.23754626456466</v>
      </c>
      <c r="AF68" s="4" t="n">
        <v>1.69490080907135</v>
      </c>
      <c r="AG68" s="4" t="s">
        <v>72</v>
      </c>
      <c r="AH68" s="2" t="n">
        <v>0.0121521094396216</v>
      </c>
      <c r="AI68" s="2" t="n">
        <v>0.0408790822710576</v>
      </c>
      <c r="AJ68" s="2" t="n">
        <v>1390557.43615188</v>
      </c>
      <c r="AK68" s="2" t="n">
        <v>504398.018738877</v>
      </c>
      <c r="AL68" s="2" t="n">
        <v>651036.080546156</v>
      </c>
      <c r="AM68" s="2" t="n">
        <v>805647.142263783</v>
      </c>
      <c r="AN68" s="2" t="n">
        <v>1556851.93068246</v>
      </c>
      <c r="AO68" s="2" t="n">
        <v>240273.393123586</v>
      </c>
      <c r="AP68" s="2" t="n">
        <v>282095.045533835</v>
      </c>
      <c r="AQ68" s="2" t="n">
        <v>255305.865876857</v>
      </c>
      <c r="AR68" s="2" t="n">
        <v>412781.474444578</v>
      </c>
      <c r="AS68" s="2" t="n">
        <v>325658.650676464</v>
      </c>
    </row>
    <row r="69">
      <c r="A69" s="2" t="s">
        <v>568</v>
      </c>
      <c r="B69" s="2" t="n">
        <v>160.133308170604</v>
      </c>
      <c r="C69" s="2" t="n">
        <v>0.781466666666667</v>
      </c>
      <c r="D69" s="2" t="s">
        <v>59</v>
      </c>
      <c r="E69" s="2" t="s">
        <v>569</v>
      </c>
      <c r="F69" s="2" t="n">
        <v>2500</v>
      </c>
      <c r="G69" s="5" t="str">
        <f>HYPERLINK("http://funmeta.oebiotech.com/network/2500", "http://funmeta.oebiotech.com/network/2500")</f>
      </c>
      <c r="H69" s="2" t="s">
        <v>570</v>
      </c>
      <c r="I69" s="2" t="n">
        <v>44732</v>
      </c>
      <c r="J69" s="2" t="s">
        <v>571</v>
      </c>
      <c r="K69" s="2" t="n">
        <v>143265</v>
      </c>
      <c r="L69" s="2"/>
      <c r="M69" s="2"/>
      <c r="N69" s="2"/>
      <c r="O69" s="2" t="n">
        <v>66085</v>
      </c>
      <c r="P69" s="2" t="s">
        <v>572</v>
      </c>
      <c r="Q69" s="2" t="s">
        <v>573</v>
      </c>
      <c r="R69" s="2" t="s">
        <v>574</v>
      </c>
      <c r="S69" s="2" t="s">
        <v>66</v>
      </c>
      <c r="T69" s="2" t="s">
        <v>67</v>
      </c>
      <c r="U69" s="2" t="s">
        <v>68</v>
      </c>
      <c r="V69" s="2" t="s">
        <v>92</v>
      </c>
      <c r="W69" s="2" t="n">
        <v>50.9</v>
      </c>
      <c r="X69" s="2" t="n">
        <v>45.4</v>
      </c>
      <c r="Y69" s="2" t="s">
        <v>248</v>
      </c>
      <c r="Z69" s="2" t="s">
        <v>575</v>
      </c>
      <c r="AA69" s="2" t="n">
        <v>0.646968693308448</v>
      </c>
      <c r="AB69" s="2" t="n">
        <v>2.29966433190124</v>
      </c>
      <c r="AC69" s="2" t="n">
        <v>798724.444871862</v>
      </c>
      <c r="AD69" s="2" t="n">
        <v>94107.8318661025</v>
      </c>
      <c r="AE69" s="4" t="n">
        <v>8.48733234029124</v>
      </c>
      <c r="AF69" s="4" t="n">
        <v>3.08531117048026</v>
      </c>
      <c r="AG69" s="4" t="s">
        <v>72</v>
      </c>
      <c r="AH69" s="2" t="n">
        <v>0.0120657636440056</v>
      </c>
      <c r="AI69" s="2" t="n">
        <v>0.0407872300917675</v>
      </c>
      <c r="AJ69" s="2" t="n">
        <v>1113376.33041214</v>
      </c>
      <c r="AK69" s="2" t="n">
        <v>270915.980348365</v>
      </c>
      <c r="AL69" s="2" t="n">
        <v>364526.49082638</v>
      </c>
      <c r="AM69" s="2" t="n">
        <v>834020.237010585</v>
      </c>
      <c r="AN69" s="2" t="n">
        <v>1410783.18576184</v>
      </c>
      <c r="AO69" s="2" t="n">
        <v>70719.929499383</v>
      </c>
      <c r="AP69" s="2" t="n">
        <v>74379.0048985906</v>
      </c>
      <c r="AQ69" s="2" t="n">
        <v>45270.2482394837</v>
      </c>
      <c r="AR69" s="2" t="n">
        <v>104539.709172992</v>
      </c>
      <c r="AS69" s="2" t="n">
        <v>175630.267520063</v>
      </c>
    </row>
    <row r="70">
      <c r="A70" s="2" t="s">
        <v>576</v>
      </c>
      <c r="B70" s="2" t="n">
        <v>318.166347584296</v>
      </c>
      <c r="C70" s="2" t="n">
        <v>3.53751666666667</v>
      </c>
      <c r="D70" s="2" t="s">
        <v>59</v>
      </c>
      <c r="E70" s="2" t="s">
        <v>577</v>
      </c>
      <c r="F70" s="2" t="n">
        <v>258583</v>
      </c>
      <c r="G70" s="5" t="str">
        <f>HYPERLINK("http://funmeta.oebiotech.com/network/258583", "http://funmeta.oebiotech.com/network/258583")</f>
      </c>
      <c r="H70" s="2"/>
      <c r="I70" s="2" t="n">
        <v>15763</v>
      </c>
      <c r="J70" s="2"/>
      <c r="K70" s="2"/>
      <c r="L70" s="2"/>
      <c r="M70" s="2"/>
      <c r="N70" s="2"/>
      <c r="O70" s="2" t="n">
        <v>145453540</v>
      </c>
      <c r="P70" s="2"/>
      <c r="Q70" s="2" t="s">
        <v>578</v>
      </c>
      <c r="R70" s="2" t="s">
        <v>579</v>
      </c>
      <c r="S70" s="2" t="s">
        <v>110</v>
      </c>
      <c r="T70" s="2" t="s">
        <v>580</v>
      </c>
      <c r="U70" s="2" t="s">
        <v>581</v>
      </c>
      <c r="V70" s="2" t="s">
        <v>92</v>
      </c>
      <c r="W70" s="2" t="n">
        <v>55.3</v>
      </c>
      <c r="X70" s="2" t="n">
        <v>56.1</v>
      </c>
      <c r="Y70" s="2" t="s">
        <v>248</v>
      </c>
      <c r="Z70" s="2" t="s">
        <v>350</v>
      </c>
      <c r="AA70" s="2" t="n">
        <v>1.21605664255066</v>
      </c>
      <c r="AB70" s="2" t="n">
        <v>2.29498222564852</v>
      </c>
      <c r="AC70" s="2" t="n">
        <v>363063.891432105</v>
      </c>
      <c r="AD70" s="2" t="n">
        <v>942987.731911707</v>
      </c>
      <c r="AE70" s="3" t="n">
        <v>0.385014437776481</v>
      </c>
      <c r="AF70" s="3" t="n">
        <v>-1.37701554799415</v>
      </c>
      <c r="AG70" s="3" t="s">
        <v>57</v>
      </c>
      <c r="AH70" s="2" t="n">
        <v>0.000067303968859978</v>
      </c>
      <c r="AI70" s="2" t="n">
        <v>0.0011471635817903</v>
      </c>
      <c r="AJ70" s="2" t="n">
        <v>339665.284269953</v>
      </c>
      <c r="AK70" s="2" t="n">
        <v>444360.136025091</v>
      </c>
      <c r="AL70" s="2" t="n">
        <v>539683.471085229</v>
      </c>
      <c r="AM70" s="2" t="n">
        <v>384040.843530333</v>
      </c>
      <c r="AN70" s="2" t="n">
        <v>107569.72224992</v>
      </c>
      <c r="AO70" s="2" t="n">
        <v>977355.157140669</v>
      </c>
      <c r="AP70" s="2" t="n">
        <v>1012956.08713644</v>
      </c>
      <c r="AQ70" s="2" t="n">
        <v>921510.503305944</v>
      </c>
      <c r="AR70" s="2" t="n">
        <v>853759.339657878</v>
      </c>
      <c r="AS70" s="2" t="n">
        <v>949357.572317605</v>
      </c>
    </row>
    <row r="71">
      <c r="A71" s="2" t="s">
        <v>582</v>
      </c>
      <c r="B71" s="2" t="n">
        <v>336.130793465707</v>
      </c>
      <c r="C71" s="2" t="n">
        <v>7.4768</v>
      </c>
      <c r="D71" s="2" t="s">
        <v>46</v>
      </c>
      <c r="E71" s="2" t="s">
        <v>583</v>
      </c>
      <c r="F71" s="2" t="n">
        <v>48906</v>
      </c>
      <c r="G71" s="5" t="str">
        <f>HYPERLINK("http://funmeta.oebiotech.com/network/48906", "http://funmeta.oebiotech.com/network/48906")</f>
      </c>
      <c r="H71" s="2" t="s">
        <v>584</v>
      </c>
      <c r="I71" s="2" t="n">
        <v>58572</v>
      </c>
      <c r="J71" s="2"/>
      <c r="K71" s="2" t="n">
        <v>27462</v>
      </c>
      <c r="L71" s="2" t="s">
        <v>585</v>
      </c>
      <c r="M71" s="2"/>
      <c r="N71" s="2"/>
      <c r="O71" s="2" t="n">
        <v>440566</v>
      </c>
      <c r="P71" s="2"/>
      <c r="Q71" s="2" t="s">
        <v>586</v>
      </c>
      <c r="R71" s="2" t="s">
        <v>587</v>
      </c>
      <c r="S71" s="2" t="s">
        <v>66</v>
      </c>
      <c r="T71" s="2" t="s">
        <v>67</v>
      </c>
      <c r="U71" s="2" t="s">
        <v>588</v>
      </c>
      <c r="V71" s="2" t="s">
        <v>54</v>
      </c>
      <c r="W71" s="2" t="n">
        <v>38.9</v>
      </c>
      <c r="X71" s="2" t="n">
        <v>0.262</v>
      </c>
      <c r="Y71" s="2" t="s">
        <v>131</v>
      </c>
      <c r="Z71" s="2" t="s">
        <v>589</v>
      </c>
      <c r="AA71" s="2" t="n">
        <v>-0.276334368519741</v>
      </c>
      <c r="AB71" s="2" t="n">
        <v>2.2388160059538</v>
      </c>
      <c r="AC71" s="2" t="n">
        <v>157526.293994977</v>
      </c>
      <c r="AD71" s="2" t="n">
        <v>750461.184943203</v>
      </c>
      <c r="AE71" s="3" t="n">
        <v>0.209905984687135</v>
      </c>
      <c r="AF71" s="3" t="n">
        <v>-2.25218479459667</v>
      </c>
      <c r="AG71" s="3" t="s">
        <v>57</v>
      </c>
      <c r="AH71" s="2" t="n">
        <v>0.00402977274563447</v>
      </c>
      <c r="AI71" s="2" t="n">
        <v>0.0188163093939586</v>
      </c>
      <c r="AJ71" s="2" t="n">
        <v>320381.194241473</v>
      </c>
      <c r="AK71" s="2" t="n">
        <v>94623.2532676428</v>
      </c>
      <c r="AL71" s="2" t="n">
        <v>281752.478343197</v>
      </c>
      <c r="AM71" s="2" t="n">
        <v>71871.7655689432</v>
      </c>
      <c r="AN71" s="2" t="n">
        <v>19002.7785536284</v>
      </c>
      <c r="AO71" s="2" t="n">
        <v>784207.663498237</v>
      </c>
      <c r="AP71" s="2" t="n">
        <v>469746.875809446</v>
      </c>
      <c r="AQ71" s="2" t="n">
        <v>881815.415476287</v>
      </c>
      <c r="AR71" s="2" t="n">
        <v>443354.494784777</v>
      </c>
      <c r="AS71" s="2" t="n">
        <v>1173181.47514727</v>
      </c>
    </row>
    <row r="72">
      <c r="A72" s="2" t="s">
        <v>590</v>
      </c>
      <c r="B72" s="2" t="n">
        <v>318.166273489394</v>
      </c>
      <c r="C72" s="2" t="n">
        <v>1.51451666666667</v>
      </c>
      <c r="D72" s="2" t="s">
        <v>59</v>
      </c>
      <c r="E72" s="2" t="s">
        <v>591</v>
      </c>
      <c r="F72" s="2" t="n">
        <v>52592</v>
      </c>
      <c r="G72" s="5" t="str">
        <f>HYPERLINK("http://funmeta.oebiotech.com/network/52592", "http://funmeta.oebiotech.com/network/52592")</f>
      </c>
      <c r="H72" s="2" t="s">
        <v>592</v>
      </c>
      <c r="I72" s="2" t="n">
        <v>2576</v>
      </c>
      <c r="J72" s="2"/>
      <c r="K72" s="2" t="n">
        <v>88206</v>
      </c>
      <c r="L72" s="2" t="s">
        <v>593</v>
      </c>
      <c r="M72" s="2"/>
      <c r="N72" s="2"/>
      <c r="O72" s="2" t="n">
        <v>59768</v>
      </c>
      <c r="P72" s="2" t="s">
        <v>594</v>
      </c>
      <c r="Q72" s="2" t="s">
        <v>595</v>
      </c>
      <c r="R72" s="2" t="s">
        <v>596</v>
      </c>
      <c r="S72" s="2" t="s">
        <v>147</v>
      </c>
      <c r="T72" s="2" t="s">
        <v>597</v>
      </c>
      <c r="U72" s="2" t="s">
        <v>77</v>
      </c>
      <c r="V72" s="2" t="s">
        <v>54</v>
      </c>
      <c r="W72" s="2" t="n">
        <v>41.7</v>
      </c>
      <c r="X72" s="2" t="n">
        <v>18.8</v>
      </c>
      <c r="Y72" s="2" t="s">
        <v>363</v>
      </c>
      <c r="Z72" s="2" t="s">
        <v>598</v>
      </c>
      <c r="AA72" s="2" t="n">
        <v>-4.4226663628807</v>
      </c>
      <c r="AB72" s="2" t="n">
        <v>2.23508241454672</v>
      </c>
      <c r="AC72" s="2" t="n">
        <v>114143.450343867</v>
      </c>
      <c r="AD72" s="2" t="n">
        <v>626668.002700883</v>
      </c>
      <c r="AE72" s="3" t="n">
        <v>0.182143415416007</v>
      </c>
      <c r="AF72" s="3" t="n">
        <v>-2.45685325307802</v>
      </c>
      <c r="AG72" s="3" t="s">
        <v>57</v>
      </c>
      <c r="AH72" s="2" t="n">
        <v>0.0000168503208537099</v>
      </c>
      <c r="AI72" s="2" t="n">
        <v>0.000556416753332457</v>
      </c>
      <c r="AJ72" s="2" t="n">
        <v>19906.4878646677</v>
      </c>
      <c r="AK72" s="2" t="n">
        <v>240974.843728964</v>
      </c>
      <c r="AL72" s="2" t="n">
        <v>190915.546834643</v>
      </c>
      <c r="AM72" s="2" t="n">
        <v>113941.63588638</v>
      </c>
      <c r="AN72" s="2" t="n">
        <v>4978.73740467817</v>
      </c>
      <c r="AO72" s="2" t="n">
        <v>613406.258103936</v>
      </c>
      <c r="AP72" s="2" t="n">
        <v>577190.417796855</v>
      </c>
      <c r="AQ72" s="2" t="n">
        <v>745527.083193376</v>
      </c>
      <c r="AR72" s="2" t="n">
        <v>566194.953010051</v>
      </c>
      <c r="AS72" s="2" t="n">
        <v>631021.301400196</v>
      </c>
    </row>
    <row r="73">
      <c r="A73" s="2" t="s">
        <v>599</v>
      </c>
      <c r="B73" s="2" t="n">
        <v>316.151318355352</v>
      </c>
      <c r="C73" s="2" t="n">
        <v>1.84498333333333</v>
      </c>
      <c r="D73" s="2" t="s">
        <v>46</v>
      </c>
      <c r="E73" s="2" t="s">
        <v>600</v>
      </c>
      <c r="F73" s="2" t="n">
        <v>265055</v>
      </c>
      <c r="G73" s="5" t="str">
        <f>HYPERLINK("http://funmeta.oebiotech.com/network/265055", "http://funmeta.oebiotech.com/network/265055")</f>
      </c>
      <c r="H73" s="2"/>
      <c r="I73" s="2" t="n">
        <v>22531</v>
      </c>
      <c r="J73" s="2"/>
      <c r="K73" s="2"/>
      <c r="L73" s="2"/>
      <c r="M73" s="2"/>
      <c r="N73" s="2"/>
      <c r="O73" s="2" t="n">
        <v>145453602</v>
      </c>
      <c r="P73" s="2"/>
      <c r="Q73" s="2" t="s">
        <v>601</v>
      </c>
      <c r="R73" s="2" t="s">
        <v>602</v>
      </c>
      <c r="S73" s="2" t="s">
        <v>110</v>
      </c>
      <c r="T73" s="2" t="s">
        <v>580</v>
      </c>
      <c r="U73" s="2" t="s">
        <v>581</v>
      </c>
      <c r="V73" s="2" t="s">
        <v>54</v>
      </c>
      <c r="W73" s="2" t="n">
        <v>39.9</v>
      </c>
      <c r="X73" s="2" t="n">
        <v>0</v>
      </c>
      <c r="Y73" s="2" t="s">
        <v>290</v>
      </c>
      <c r="Z73" s="2" t="s">
        <v>350</v>
      </c>
      <c r="AA73" s="2" t="n">
        <v>-0.285920022127278</v>
      </c>
      <c r="AB73" s="2" t="n">
        <v>2.21420039785158</v>
      </c>
      <c r="AC73" s="2" t="n">
        <v>118910.984628802</v>
      </c>
      <c r="AD73" s="2" t="n">
        <v>623381.188139147</v>
      </c>
      <c r="AE73" s="3" t="n">
        <v>0.190751641036463</v>
      </c>
      <c r="AF73" s="3" t="n">
        <v>-2.39023262626801</v>
      </c>
      <c r="AG73" s="3" t="s">
        <v>57</v>
      </c>
      <c r="AH73" s="2" t="n">
        <v>0.0000430341640239078</v>
      </c>
      <c r="AI73" s="2" t="n">
        <v>0.000887958454859506</v>
      </c>
      <c r="AJ73" s="2" t="n">
        <v>99165.3706549143</v>
      </c>
      <c r="AK73" s="2" t="n">
        <v>135896.463853201</v>
      </c>
      <c r="AL73" s="2" t="n">
        <v>203295.429436338</v>
      </c>
      <c r="AM73" s="2" t="n">
        <v>149001.640231416</v>
      </c>
      <c r="AN73" s="2" t="n">
        <v>7196.01896814207</v>
      </c>
      <c r="AO73" s="2" t="n">
        <v>618934.195382524</v>
      </c>
      <c r="AP73" s="2" t="n">
        <v>617278.127700504</v>
      </c>
      <c r="AQ73" s="2" t="n">
        <v>778059.238913044</v>
      </c>
      <c r="AR73" s="2" t="n">
        <v>442569.485939001</v>
      </c>
      <c r="AS73" s="2" t="n">
        <v>660064.89276066</v>
      </c>
    </row>
    <row r="74">
      <c r="A74" s="2" t="s">
        <v>603</v>
      </c>
      <c r="B74" s="2" t="n">
        <v>330.167166703166</v>
      </c>
      <c r="C74" s="2" t="n">
        <v>3.69475</v>
      </c>
      <c r="D74" s="2" t="s">
        <v>46</v>
      </c>
      <c r="E74" s="2" t="s">
        <v>604</v>
      </c>
      <c r="F74" s="2" t="n">
        <v>258915</v>
      </c>
      <c r="G74" s="5" t="str">
        <f>HYPERLINK("http://funmeta.oebiotech.com/network/258915", "http://funmeta.oebiotech.com/network/258915")</f>
      </c>
      <c r="H74" s="2"/>
      <c r="I74" s="2" t="n">
        <v>16109</v>
      </c>
      <c r="J74" s="2"/>
      <c r="K74" s="2"/>
      <c r="L74" s="2"/>
      <c r="M74" s="2"/>
      <c r="N74" s="2"/>
      <c r="O74" s="2" t="n">
        <v>145453576</v>
      </c>
      <c r="P74" s="2"/>
      <c r="Q74" s="2" t="s">
        <v>605</v>
      </c>
      <c r="R74" s="2" t="s">
        <v>606</v>
      </c>
      <c r="S74" s="2" t="s">
        <v>110</v>
      </c>
      <c r="T74" s="2" t="s">
        <v>111</v>
      </c>
      <c r="U74" s="2" t="s">
        <v>112</v>
      </c>
      <c r="V74" s="2" t="s">
        <v>122</v>
      </c>
      <c r="W74" s="2" t="n">
        <v>41.7</v>
      </c>
      <c r="X74" s="2" t="n">
        <v>0</v>
      </c>
      <c r="Y74" s="2" t="s">
        <v>290</v>
      </c>
      <c r="Z74" s="2" t="s">
        <v>444</v>
      </c>
      <c r="AA74" s="2" t="n">
        <v>0.324909404058821</v>
      </c>
      <c r="AB74" s="2" t="n">
        <v>2.19904536814806</v>
      </c>
      <c r="AC74" s="2" t="n">
        <v>128003.420794924</v>
      </c>
      <c r="AD74" s="2" t="n">
        <v>627319.207365314</v>
      </c>
      <c r="AE74" s="3" t="n">
        <v>0.204048304741899</v>
      </c>
      <c r="AF74" s="3" t="n">
        <v>-2.2930173703272</v>
      </c>
      <c r="AG74" s="3" t="s">
        <v>57</v>
      </c>
      <c r="AH74" s="2" t="n">
        <v>0.0000380811300936608</v>
      </c>
      <c r="AI74" s="2" t="n">
        <v>0.000831850305714149</v>
      </c>
      <c r="AJ74" s="2" t="n">
        <v>104284.131645172</v>
      </c>
      <c r="AK74" s="2" t="n">
        <v>152260.042498681</v>
      </c>
      <c r="AL74" s="2" t="n">
        <v>213476.229695798</v>
      </c>
      <c r="AM74" s="2" t="n">
        <v>159729.115971967</v>
      </c>
      <c r="AN74" s="2" t="n">
        <v>10267.5841630026</v>
      </c>
      <c r="AO74" s="2" t="n">
        <v>598112.195250574</v>
      </c>
      <c r="AP74" s="2" t="n">
        <v>582114.175908464</v>
      </c>
      <c r="AQ74" s="2" t="n">
        <v>745402.810527082</v>
      </c>
      <c r="AR74" s="2" t="n">
        <v>475310.348482629</v>
      </c>
      <c r="AS74" s="2" t="n">
        <v>735656.50665782</v>
      </c>
    </row>
    <row r="75">
      <c r="A75" s="2" t="s">
        <v>607</v>
      </c>
      <c r="B75" s="2" t="n">
        <v>384.115144540398</v>
      </c>
      <c r="C75" s="2" t="n">
        <v>2.95621666666667</v>
      </c>
      <c r="D75" s="2" t="s">
        <v>59</v>
      </c>
      <c r="E75" s="2" t="s">
        <v>608</v>
      </c>
      <c r="F75" s="2" t="n">
        <v>47295</v>
      </c>
      <c r="G75" s="5" t="str">
        <f>HYPERLINK("http://funmeta.oebiotech.com/network/47295", "http://funmeta.oebiotech.com/network/47295")</f>
      </c>
      <c r="H75" s="2" t="s">
        <v>609</v>
      </c>
      <c r="I75" s="2" t="n">
        <v>5867</v>
      </c>
      <c r="J75" s="2"/>
      <c r="K75" s="2" t="n">
        <v>71169</v>
      </c>
      <c r="L75" s="2"/>
      <c r="M75" s="2"/>
      <c r="N75" s="2"/>
      <c r="O75" s="2" t="n">
        <v>20849086</v>
      </c>
      <c r="P75" s="2" t="s">
        <v>610</v>
      </c>
      <c r="Q75" s="2" t="s">
        <v>611</v>
      </c>
      <c r="R75" s="2" t="s">
        <v>612</v>
      </c>
      <c r="S75" s="2" t="s">
        <v>360</v>
      </c>
      <c r="T75" s="2" t="s">
        <v>361</v>
      </c>
      <c r="U75" s="2" t="s">
        <v>77</v>
      </c>
      <c r="V75" s="2" t="s">
        <v>92</v>
      </c>
      <c r="W75" s="2" t="n">
        <v>62.7</v>
      </c>
      <c r="X75" s="2" t="n">
        <v>96.3</v>
      </c>
      <c r="Y75" s="2" t="s">
        <v>248</v>
      </c>
      <c r="Z75" s="2" t="s">
        <v>613</v>
      </c>
      <c r="AA75" s="2" t="n">
        <v>0.406107010004276</v>
      </c>
      <c r="AB75" s="2" t="n">
        <v>2.18971446925465</v>
      </c>
      <c r="AC75" s="2" t="n">
        <v>698752.842978157</v>
      </c>
      <c r="AD75" s="2" t="n">
        <v>97450.6275088028</v>
      </c>
      <c r="AE75" s="4" t="n">
        <v>7.17032676793218</v>
      </c>
      <c r="AF75" s="4" t="n">
        <v>2.84203886728606</v>
      </c>
      <c r="AG75" s="4" t="s">
        <v>72</v>
      </c>
      <c r="AH75" s="2" t="n">
        <v>0.0169637299120763</v>
      </c>
      <c r="AI75" s="2" t="n">
        <v>0.0516402375505284</v>
      </c>
      <c r="AJ75" s="2" t="n">
        <v>1219166.07132009</v>
      </c>
      <c r="AK75" s="2" t="n">
        <v>266656.992978254</v>
      </c>
      <c r="AL75" s="2" t="n">
        <v>275084.928829751</v>
      </c>
      <c r="AM75" s="2" t="n">
        <v>636110.451864431</v>
      </c>
      <c r="AN75" s="2" t="n">
        <v>1096745.76989826</v>
      </c>
      <c r="AO75" s="2" t="n">
        <v>100048.335836576</v>
      </c>
      <c r="AP75" s="2" t="n">
        <v>132371.660747864</v>
      </c>
      <c r="AQ75" s="2" t="n">
        <v>80284.6988053876</v>
      </c>
      <c r="AR75" s="2" t="n">
        <v>96480.6254045387</v>
      </c>
      <c r="AS75" s="2" t="n">
        <v>78067.8167496477</v>
      </c>
    </row>
    <row r="76">
      <c r="A76" s="2" t="s">
        <v>614</v>
      </c>
      <c r="B76" s="2" t="n">
        <v>300.123943842577</v>
      </c>
      <c r="C76" s="2" t="n">
        <v>6.85745</v>
      </c>
      <c r="D76" s="2" t="s">
        <v>59</v>
      </c>
      <c r="E76" s="2" t="s">
        <v>615</v>
      </c>
      <c r="F76" s="2" t="n">
        <v>57288</v>
      </c>
      <c r="G76" s="5" t="str">
        <f>HYPERLINK("http://funmeta.oebiotech.com/network/57288", "http://funmeta.oebiotech.com/network/57288")</f>
      </c>
      <c r="H76" s="2" t="s">
        <v>616</v>
      </c>
      <c r="I76" s="2" t="n">
        <v>88918</v>
      </c>
      <c r="J76" s="2"/>
      <c r="K76" s="2"/>
      <c r="L76" s="2"/>
      <c r="M76" s="2"/>
      <c r="N76" s="2"/>
      <c r="O76" s="2" t="n">
        <v>9994897</v>
      </c>
      <c r="P76" s="2" t="s">
        <v>617</v>
      </c>
      <c r="Q76" s="2" t="s">
        <v>618</v>
      </c>
      <c r="R76" s="2" t="s">
        <v>619</v>
      </c>
      <c r="S76" s="2" t="s">
        <v>158</v>
      </c>
      <c r="T76" s="2" t="s">
        <v>620</v>
      </c>
      <c r="U76" s="2" t="s">
        <v>621</v>
      </c>
      <c r="V76" s="2" t="s">
        <v>54</v>
      </c>
      <c r="W76" s="2" t="n">
        <v>38.7</v>
      </c>
      <c r="X76" s="2" t="n">
        <v>3.66</v>
      </c>
      <c r="Y76" s="2" t="s">
        <v>332</v>
      </c>
      <c r="Z76" s="2" t="s">
        <v>622</v>
      </c>
      <c r="AA76" s="2" t="n">
        <v>3.04023550393864</v>
      </c>
      <c r="AB76" s="2" t="n">
        <v>2.14894865203472</v>
      </c>
      <c r="AC76" s="2" t="n">
        <v>107800.365824965</v>
      </c>
      <c r="AD76" s="2" t="n">
        <v>778646.86596961</v>
      </c>
      <c r="AE76" s="3" t="n">
        <v>0.138445771165761</v>
      </c>
      <c r="AF76" s="3" t="n">
        <v>-2.85260710771456</v>
      </c>
      <c r="AG76" s="3" t="s">
        <v>57</v>
      </c>
      <c r="AH76" s="2" t="n">
        <v>0.0209463361490618</v>
      </c>
      <c r="AI76" s="2" t="n">
        <v>0.0594965053597621</v>
      </c>
      <c r="AJ76" s="2" t="n">
        <v>303212.999618175</v>
      </c>
      <c r="AK76" s="2" t="n">
        <v>14394.4166795226</v>
      </c>
      <c r="AL76" s="2" t="n">
        <v>178502.027768275</v>
      </c>
      <c r="AM76" s="2" t="n">
        <v>31112.7933692871</v>
      </c>
      <c r="AN76" s="2" t="n">
        <v>11779.5916895668</v>
      </c>
      <c r="AO76" s="2" t="n">
        <v>948948.327919822</v>
      </c>
      <c r="AP76" s="2" t="n">
        <v>1467459.85188007</v>
      </c>
      <c r="AQ76" s="2" t="n">
        <v>921586.96765777</v>
      </c>
      <c r="AR76" s="2" t="n">
        <v>241870.619553983</v>
      </c>
      <c r="AS76" s="2" t="n">
        <v>313368.562836407</v>
      </c>
    </row>
    <row r="77">
      <c r="A77" s="2" t="s">
        <v>623</v>
      </c>
      <c r="B77" s="2" t="n">
        <v>231.134373454143</v>
      </c>
      <c r="C77" s="2" t="n">
        <v>1.09676666666667</v>
      </c>
      <c r="D77" s="2" t="s">
        <v>46</v>
      </c>
      <c r="E77" s="2" t="s">
        <v>624</v>
      </c>
      <c r="F77" s="2" t="n">
        <v>53940</v>
      </c>
      <c r="G77" s="5" t="str">
        <f>HYPERLINK("http://funmeta.oebiotech.com/network/53940", "http://funmeta.oebiotech.com/network/53940")</f>
      </c>
      <c r="H77" s="2" t="s">
        <v>625</v>
      </c>
      <c r="I77" s="2" t="n">
        <v>85822</v>
      </c>
      <c r="J77" s="2"/>
      <c r="K77" s="2"/>
      <c r="L77" s="2"/>
      <c r="M77" s="2"/>
      <c r="N77" s="2"/>
      <c r="O77" s="2" t="n">
        <v>18218220</v>
      </c>
      <c r="P77" s="2"/>
      <c r="Q77" s="2" t="s">
        <v>626</v>
      </c>
      <c r="R77" s="2" t="s">
        <v>627</v>
      </c>
      <c r="S77" s="2" t="s">
        <v>110</v>
      </c>
      <c r="T77" s="2" t="s">
        <v>111</v>
      </c>
      <c r="U77" s="2" t="s">
        <v>112</v>
      </c>
      <c r="V77" s="2" t="s">
        <v>69</v>
      </c>
      <c r="W77" s="2" t="n">
        <v>49.6</v>
      </c>
      <c r="X77" s="2" t="n">
        <v>63</v>
      </c>
      <c r="Y77" s="2" t="s">
        <v>55</v>
      </c>
      <c r="Z77" s="2" t="s">
        <v>420</v>
      </c>
      <c r="AA77" s="2" t="n">
        <v>-2.83120774305892</v>
      </c>
      <c r="AB77" s="2" t="n">
        <v>2.10022737853375</v>
      </c>
      <c r="AC77" s="2" t="n">
        <v>176970.288682128</v>
      </c>
      <c r="AD77" s="2" t="n">
        <v>670837.961401065</v>
      </c>
      <c r="AE77" s="3" t="n">
        <v>0.263804821528765</v>
      </c>
      <c r="AF77" s="3" t="n">
        <v>-1.92245716209445</v>
      </c>
      <c r="AG77" s="3" t="s">
        <v>57</v>
      </c>
      <c r="AH77" s="2" t="n">
        <v>0.00096599342398797</v>
      </c>
      <c r="AI77" s="2" t="n">
        <v>0.00656696225588109</v>
      </c>
      <c r="AJ77" s="2" t="n">
        <v>67847.0912032896</v>
      </c>
      <c r="AK77" s="2" t="n">
        <v>323081.422062454</v>
      </c>
      <c r="AL77" s="2" t="n">
        <v>378023.479831356</v>
      </c>
      <c r="AM77" s="2" t="n">
        <v>112528.553285796</v>
      </c>
      <c r="AN77" s="2" t="n">
        <v>3370.89702774662</v>
      </c>
      <c r="AO77" s="2" t="n">
        <v>545039.044248174</v>
      </c>
      <c r="AP77" s="2" t="n">
        <v>592940.671720236</v>
      </c>
      <c r="AQ77" s="2" t="n">
        <v>752423.905434386</v>
      </c>
      <c r="AR77" s="2" t="n">
        <v>580463.719954858</v>
      </c>
      <c r="AS77" s="2" t="n">
        <v>883322.465647671</v>
      </c>
    </row>
    <row r="78">
      <c r="A78" s="2" t="s">
        <v>628</v>
      </c>
      <c r="B78" s="2" t="n">
        <v>246.145018588717</v>
      </c>
      <c r="C78" s="2" t="n">
        <v>2.5346</v>
      </c>
      <c r="D78" s="2" t="s">
        <v>59</v>
      </c>
      <c r="E78" s="2" t="s">
        <v>629</v>
      </c>
      <c r="F78" s="2" t="n">
        <v>53773</v>
      </c>
      <c r="G78" s="5" t="str">
        <f>HYPERLINK("http://funmeta.oebiotech.com/network/53773", "http://funmeta.oebiotech.com/network/53773")</f>
      </c>
      <c r="H78" s="2" t="s">
        <v>630</v>
      </c>
      <c r="I78" s="2" t="n">
        <v>85649</v>
      </c>
      <c r="J78" s="2"/>
      <c r="K78" s="2" t="n">
        <v>141421</v>
      </c>
      <c r="L78" s="2"/>
      <c r="M78" s="2"/>
      <c r="N78" s="2"/>
      <c r="O78" s="2" t="n">
        <v>56991460</v>
      </c>
      <c r="P78" s="2" t="s">
        <v>631</v>
      </c>
      <c r="Q78" s="2" t="s">
        <v>632</v>
      </c>
      <c r="R78" s="2" t="s">
        <v>633</v>
      </c>
      <c r="S78" s="2" t="s">
        <v>110</v>
      </c>
      <c r="T78" s="2" t="s">
        <v>111</v>
      </c>
      <c r="U78" s="2" t="s">
        <v>112</v>
      </c>
      <c r="V78" s="2" t="s">
        <v>92</v>
      </c>
      <c r="W78" s="2" t="n">
        <v>61</v>
      </c>
      <c r="X78" s="2" t="n">
        <v>86.6</v>
      </c>
      <c r="Y78" s="2" t="s">
        <v>236</v>
      </c>
      <c r="Z78" s="2" t="s">
        <v>634</v>
      </c>
      <c r="AA78" s="2" t="n">
        <v>0.758980997356319</v>
      </c>
      <c r="AB78" s="2" t="n">
        <v>2.09769891437365</v>
      </c>
      <c r="AC78" s="2" t="n">
        <v>555334.20323209</v>
      </c>
      <c r="AD78" s="2" t="n">
        <v>1140003.61743802</v>
      </c>
      <c r="AE78" s="3" t="n">
        <v>0.487133720224606</v>
      </c>
      <c r="AF78" s="3" t="n">
        <v>-1.03761024244801</v>
      </c>
      <c r="AG78" s="3" t="s">
        <v>57</v>
      </c>
      <c r="AH78" s="2" t="n">
        <v>0.0150264545226814</v>
      </c>
      <c r="AI78" s="2" t="n">
        <v>0.0475202501364884</v>
      </c>
      <c r="AJ78" s="2" t="n">
        <v>556525.235059586</v>
      </c>
      <c r="AK78" s="2" t="n">
        <v>762638.06979604</v>
      </c>
      <c r="AL78" s="2" t="n">
        <v>836835.14082627</v>
      </c>
      <c r="AM78" s="2" t="n">
        <v>506792.821662462</v>
      </c>
      <c r="AN78" s="2" t="n">
        <v>113879.748816094</v>
      </c>
      <c r="AO78" s="2" t="n">
        <v>943633.263217452</v>
      </c>
      <c r="AP78" s="2" t="n">
        <v>969947.088299299</v>
      </c>
      <c r="AQ78" s="2" t="n">
        <v>1393994.93850312</v>
      </c>
      <c r="AR78" s="2" t="n">
        <v>834924.116254819</v>
      </c>
      <c r="AS78" s="2" t="n">
        <v>1557518.6809154</v>
      </c>
    </row>
    <row r="79">
      <c r="A79" s="2" t="s">
        <v>635</v>
      </c>
      <c r="B79" s="2" t="n">
        <v>611.267082055207</v>
      </c>
      <c r="C79" s="2" t="n">
        <v>6.1315</v>
      </c>
      <c r="D79" s="2" t="s">
        <v>46</v>
      </c>
      <c r="E79" s="2" t="s">
        <v>636</v>
      </c>
      <c r="F79" s="2" t="n">
        <v>64625</v>
      </c>
      <c r="G79" s="5" t="str">
        <f>HYPERLINK("http://funmeta.oebiotech.com/network/64625", "http://funmeta.oebiotech.com/network/64625")</f>
      </c>
      <c r="H79" s="2" t="s">
        <v>637</v>
      </c>
      <c r="I79" s="2"/>
      <c r="J79" s="2"/>
      <c r="K79" s="2" t="n">
        <v>174933</v>
      </c>
      <c r="L79" s="2"/>
      <c r="M79" s="2"/>
      <c r="N79" s="2"/>
      <c r="O79" s="2" t="n">
        <v>10494866</v>
      </c>
      <c r="P79" s="2" t="s">
        <v>638</v>
      </c>
      <c r="Q79" s="2" t="s">
        <v>639</v>
      </c>
      <c r="R79" s="2" t="s">
        <v>640</v>
      </c>
      <c r="S79" s="2" t="s">
        <v>51</v>
      </c>
      <c r="T79" s="2" t="s">
        <v>641</v>
      </c>
      <c r="U79" s="2" t="s">
        <v>642</v>
      </c>
      <c r="V79" s="2" t="s">
        <v>92</v>
      </c>
      <c r="W79" s="2" t="n">
        <v>70.9</v>
      </c>
      <c r="X79" s="2" t="n">
        <v>92.8</v>
      </c>
      <c r="Y79" s="2" t="s">
        <v>85</v>
      </c>
      <c r="Z79" s="2" t="s">
        <v>643</v>
      </c>
      <c r="AA79" s="2" t="n">
        <v>1.14791031859248</v>
      </c>
      <c r="AB79" s="2" t="n">
        <v>2.09314740834432</v>
      </c>
      <c r="AC79" s="2" t="n">
        <v>871.073385539757</v>
      </c>
      <c r="AD79" s="2" t="n">
        <v>490300.085585315</v>
      </c>
      <c r="AE79" s="3" t="n">
        <v>0.00177661275441117</v>
      </c>
      <c r="AF79" s="3" t="n">
        <v>-9.13665503108008</v>
      </c>
      <c r="AG79" s="3" t="s">
        <v>57</v>
      </c>
      <c r="AH79" s="2" t="n">
        <v>0.00661644476927795</v>
      </c>
      <c r="AI79" s="2" t="n">
        <v>0.0272042637770433</v>
      </c>
      <c r="AJ79" s="2" t="n">
        <v>0.00000136409140715624</v>
      </c>
      <c r="AK79" s="2" t="n">
        <v>0.00000136409140715624</v>
      </c>
      <c r="AL79" s="2" t="n">
        <v>4355.36692224242</v>
      </c>
      <c r="AM79" s="2" t="n">
        <v>0.00000136409140715624</v>
      </c>
      <c r="AN79" s="2" t="n">
        <v>0.00000136409140715624</v>
      </c>
      <c r="AO79" s="2" t="n">
        <v>541148.092038133</v>
      </c>
      <c r="AP79" s="2" t="n">
        <v>577965.757012421</v>
      </c>
      <c r="AQ79" s="2" t="n">
        <v>825660.946848968</v>
      </c>
      <c r="AR79" s="2" t="n">
        <v>1249.17860446055</v>
      </c>
      <c r="AS79" s="2" t="n">
        <v>505476.453422591</v>
      </c>
    </row>
    <row r="80">
      <c r="A80" s="2" t="s">
        <v>644</v>
      </c>
      <c r="B80" s="2" t="n">
        <v>231.097974661284</v>
      </c>
      <c r="C80" s="2" t="n">
        <v>0.787616666666667</v>
      </c>
      <c r="D80" s="2" t="s">
        <v>46</v>
      </c>
      <c r="E80" s="2" t="s">
        <v>645</v>
      </c>
      <c r="F80" s="2" t="n">
        <v>266205</v>
      </c>
      <c r="G80" s="5" t="str">
        <f>HYPERLINK("http://funmeta.oebiotech.com/network/266205", "http://funmeta.oebiotech.com/network/266205")</f>
      </c>
      <c r="H80" s="2"/>
      <c r="I80" s="2" t="n">
        <v>23941</v>
      </c>
      <c r="J80" s="2"/>
      <c r="K80" s="2"/>
      <c r="L80" s="2"/>
      <c r="M80" s="2"/>
      <c r="N80" s="2"/>
      <c r="O80" s="2" t="n">
        <v>6347578</v>
      </c>
      <c r="P80" s="2"/>
      <c r="Q80" s="2" t="s">
        <v>646</v>
      </c>
      <c r="R80" s="2" t="s">
        <v>647</v>
      </c>
      <c r="S80" s="2" t="s">
        <v>110</v>
      </c>
      <c r="T80" s="2" t="s">
        <v>111</v>
      </c>
      <c r="U80" s="2" t="s">
        <v>112</v>
      </c>
      <c r="V80" s="2" t="s">
        <v>122</v>
      </c>
      <c r="W80" s="2" t="n">
        <v>40.1</v>
      </c>
      <c r="X80" s="2" t="n">
        <v>0</v>
      </c>
      <c r="Y80" s="2" t="s">
        <v>131</v>
      </c>
      <c r="Z80" s="2" t="s">
        <v>648</v>
      </c>
      <c r="AA80" s="2" t="n">
        <v>-3.60303268415246</v>
      </c>
      <c r="AB80" s="2" t="n">
        <v>2.08004842922591</v>
      </c>
      <c r="AC80" s="2" t="n">
        <v>83516.3960263218</v>
      </c>
      <c r="AD80" s="2" t="n">
        <v>545420.159938857</v>
      </c>
      <c r="AE80" s="3" t="n">
        <v>0.153123045608883</v>
      </c>
      <c r="AF80" s="3" t="n">
        <v>-2.70723666454108</v>
      </c>
      <c r="AG80" s="3" t="s">
        <v>57</v>
      </c>
      <c r="AH80" s="2" t="n">
        <v>0.000266214159143556</v>
      </c>
      <c r="AI80" s="2" t="n">
        <v>0.00269432637751509</v>
      </c>
      <c r="AJ80" s="2" t="n">
        <v>51722.5367805048</v>
      </c>
      <c r="AK80" s="2" t="n">
        <v>160903.391739691</v>
      </c>
      <c r="AL80" s="2" t="n">
        <v>138150.805896523</v>
      </c>
      <c r="AM80" s="2" t="n">
        <v>56545.3632664123</v>
      </c>
      <c r="AN80" s="2" t="n">
        <v>10259.8824484779</v>
      </c>
      <c r="AO80" s="2" t="n">
        <v>432169.040276173</v>
      </c>
      <c r="AP80" s="2" t="n">
        <v>484574.389359542</v>
      </c>
      <c r="AQ80" s="2" t="n">
        <v>687878.591015634</v>
      </c>
      <c r="AR80" s="2" t="n">
        <v>390274.855741078</v>
      </c>
      <c r="AS80" s="2" t="n">
        <v>732203.923301858</v>
      </c>
    </row>
    <row r="81">
      <c r="A81" s="2" t="s">
        <v>649</v>
      </c>
      <c r="B81" s="2" t="n">
        <v>302.106617811042</v>
      </c>
      <c r="C81" s="2" t="n">
        <v>5.9132</v>
      </c>
      <c r="D81" s="2" t="s">
        <v>46</v>
      </c>
      <c r="E81" s="2" t="s">
        <v>650</v>
      </c>
      <c r="F81" s="2" t="n">
        <v>8813</v>
      </c>
      <c r="G81" s="5" t="str">
        <f>HYPERLINK("http://funmeta.oebiotech.com/network/8813", "http://funmeta.oebiotech.com/network/8813")</f>
      </c>
      <c r="H81" s="2"/>
      <c r="I81" s="2"/>
      <c r="J81" s="2" t="s">
        <v>651</v>
      </c>
      <c r="K81" s="2"/>
      <c r="L81" s="2"/>
      <c r="M81" s="2"/>
      <c r="N81" s="2"/>
      <c r="O81" s="2" t="n">
        <v>53484106</v>
      </c>
      <c r="P81" s="2"/>
      <c r="Q81" s="2" t="s">
        <v>652</v>
      </c>
      <c r="R81" s="2" t="s">
        <v>653</v>
      </c>
      <c r="S81" s="2" t="s">
        <v>110</v>
      </c>
      <c r="T81" s="2" t="s">
        <v>111</v>
      </c>
      <c r="U81" s="2" t="s">
        <v>112</v>
      </c>
      <c r="V81" s="2" t="s">
        <v>54</v>
      </c>
      <c r="W81" s="2" t="n">
        <v>40.8</v>
      </c>
      <c r="X81" s="2" t="n">
        <v>8.6</v>
      </c>
      <c r="Y81" s="2" t="s">
        <v>131</v>
      </c>
      <c r="Z81" s="2" t="s">
        <v>654</v>
      </c>
      <c r="AA81" s="2" t="n">
        <v>-0.581589993456397</v>
      </c>
      <c r="AB81" s="2" t="n">
        <v>2.06503563473171</v>
      </c>
      <c r="AC81" s="2" t="n">
        <v>96373.4113360149</v>
      </c>
      <c r="AD81" s="2" t="n">
        <v>688772.806265854</v>
      </c>
      <c r="AE81" s="3" t="n">
        <v>0.139920465005723</v>
      </c>
      <c r="AF81" s="3" t="n">
        <v>-2.83732110591585</v>
      </c>
      <c r="AG81" s="3" t="s">
        <v>57</v>
      </c>
      <c r="AH81" s="2" t="n">
        <v>0.0262209239034883</v>
      </c>
      <c r="AI81" s="2" t="n">
        <v>0.0693074488382686</v>
      </c>
      <c r="AJ81" s="2" t="n">
        <v>33669.5991411011</v>
      </c>
      <c r="AK81" s="2" t="n">
        <v>219014.186088309</v>
      </c>
      <c r="AL81" s="2" t="n">
        <v>147182.956715026</v>
      </c>
      <c r="AM81" s="2" t="n">
        <v>81795.2433041623</v>
      </c>
      <c r="AN81" s="2" t="n">
        <v>205.071431475891</v>
      </c>
      <c r="AO81" s="2" t="n">
        <v>309147.391562758</v>
      </c>
      <c r="AP81" s="2" t="n">
        <v>338774.888960238</v>
      </c>
      <c r="AQ81" s="2" t="n">
        <v>1493560.19464602</v>
      </c>
      <c r="AR81" s="2" t="n">
        <v>657087.856695919</v>
      </c>
      <c r="AS81" s="2" t="n">
        <v>645293.699464336</v>
      </c>
    </row>
    <row r="82">
      <c r="A82" s="2" t="s">
        <v>655</v>
      </c>
      <c r="B82" s="2" t="n">
        <v>203.139322418255</v>
      </c>
      <c r="C82" s="2" t="n">
        <v>2.31481666666667</v>
      </c>
      <c r="D82" s="2" t="s">
        <v>59</v>
      </c>
      <c r="E82" s="2" t="s">
        <v>656</v>
      </c>
      <c r="F82" s="2" t="n">
        <v>53730</v>
      </c>
      <c r="G82" s="5" t="str">
        <f>HYPERLINK("http://funmeta.oebiotech.com/network/53730", "http://funmeta.oebiotech.com/network/53730")</f>
      </c>
      <c r="H82" s="2" t="s">
        <v>657</v>
      </c>
      <c r="I82" s="2" t="n">
        <v>23844</v>
      </c>
      <c r="J82" s="2"/>
      <c r="K82" s="2" t="n">
        <v>73805</v>
      </c>
      <c r="L82" s="2"/>
      <c r="M82" s="2"/>
      <c r="N82" s="2"/>
      <c r="O82" s="2" t="n">
        <v>7408078</v>
      </c>
      <c r="P82" s="2" t="s">
        <v>658</v>
      </c>
      <c r="Q82" s="2" t="s">
        <v>659</v>
      </c>
      <c r="R82" s="2" t="s">
        <v>660</v>
      </c>
      <c r="S82" s="2" t="s">
        <v>110</v>
      </c>
      <c r="T82" s="2" t="s">
        <v>111</v>
      </c>
      <c r="U82" s="2" t="s">
        <v>112</v>
      </c>
      <c r="V82" s="2" t="s">
        <v>92</v>
      </c>
      <c r="W82" s="2" t="n">
        <v>58.5</v>
      </c>
      <c r="X82" s="2" t="n">
        <v>92</v>
      </c>
      <c r="Y82" s="2" t="s">
        <v>248</v>
      </c>
      <c r="Z82" s="2" t="s">
        <v>520</v>
      </c>
      <c r="AA82" s="2" t="n">
        <v>1.50169741585924</v>
      </c>
      <c r="AB82" s="2" t="n">
        <v>2.05622363291114</v>
      </c>
      <c r="AC82" s="2" t="n">
        <v>291737.866781102</v>
      </c>
      <c r="AD82" s="2" t="n">
        <v>786263.590896393</v>
      </c>
      <c r="AE82" s="3" t="n">
        <v>0.371043337322158</v>
      </c>
      <c r="AF82" s="3" t="n">
        <v>-1.43034039351743</v>
      </c>
      <c r="AG82" s="3" t="s">
        <v>57</v>
      </c>
      <c r="AH82" s="2" t="n">
        <v>0.00454158504118112</v>
      </c>
      <c r="AI82" s="2" t="n">
        <v>0.0206714802627765</v>
      </c>
      <c r="AJ82" s="2" t="n">
        <v>221793.488106555</v>
      </c>
      <c r="AK82" s="2" t="n">
        <v>436855.366497729</v>
      </c>
      <c r="AL82" s="2" t="n">
        <v>428608.252424077</v>
      </c>
      <c r="AM82" s="2" t="n">
        <v>262334.540443132</v>
      </c>
      <c r="AN82" s="2" t="n">
        <v>109097.686434017</v>
      </c>
      <c r="AO82" s="2" t="n">
        <v>615667.8203889</v>
      </c>
      <c r="AP82" s="2" t="n">
        <v>740482.639740434</v>
      </c>
      <c r="AQ82" s="2" t="n">
        <v>944976.825366393</v>
      </c>
      <c r="AR82" s="2" t="n">
        <v>511339.478776809</v>
      </c>
      <c r="AS82" s="2" t="n">
        <v>1118851.19020943</v>
      </c>
    </row>
    <row r="83">
      <c r="A83" s="2" t="s">
        <v>661</v>
      </c>
      <c r="B83" s="2" t="n">
        <v>215.139427782873</v>
      </c>
      <c r="C83" s="2" t="n">
        <v>1.82608333333333</v>
      </c>
      <c r="D83" s="2" t="s">
        <v>46</v>
      </c>
      <c r="E83" s="2" t="s">
        <v>662</v>
      </c>
      <c r="F83" s="2" t="n">
        <v>54151</v>
      </c>
      <c r="G83" s="5" t="str">
        <f>HYPERLINK("http://funmeta.oebiotech.com/network/54151", "http://funmeta.oebiotech.com/network/54151")</f>
      </c>
      <c r="H83" s="2" t="s">
        <v>663</v>
      </c>
      <c r="I83" s="2" t="n">
        <v>23988</v>
      </c>
      <c r="J83" s="2"/>
      <c r="K83" s="2" t="n">
        <v>73704</v>
      </c>
      <c r="L83" s="2"/>
      <c r="M83" s="2"/>
      <c r="N83" s="2"/>
      <c r="O83" s="2" t="n">
        <v>107475</v>
      </c>
      <c r="P83" s="2" t="s">
        <v>664</v>
      </c>
      <c r="Q83" s="2" t="s">
        <v>665</v>
      </c>
      <c r="R83" s="2" t="s">
        <v>666</v>
      </c>
      <c r="S83" s="2" t="s">
        <v>110</v>
      </c>
      <c r="T83" s="2" t="s">
        <v>111</v>
      </c>
      <c r="U83" s="2" t="s">
        <v>112</v>
      </c>
      <c r="V83" s="2" t="s">
        <v>69</v>
      </c>
      <c r="W83" s="2" t="n">
        <v>53.3</v>
      </c>
      <c r="X83" s="2" t="n">
        <v>67.6</v>
      </c>
      <c r="Y83" s="2" t="s">
        <v>55</v>
      </c>
      <c r="Z83" s="2" t="s">
        <v>667</v>
      </c>
      <c r="AA83" s="2" t="n">
        <v>-3.18437710027283</v>
      </c>
      <c r="AB83" s="2" t="n">
        <v>2.049900936954</v>
      </c>
      <c r="AC83" s="2" t="n">
        <v>214275.792052101</v>
      </c>
      <c r="AD83" s="2" t="n">
        <v>767741.212076931</v>
      </c>
      <c r="AE83" s="3" t="n">
        <v>0.279098983721913</v>
      </c>
      <c r="AF83" s="3" t="n">
        <v>-1.84115122373321</v>
      </c>
      <c r="AG83" s="3" t="s">
        <v>57</v>
      </c>
      <c r="AH83" s="2" t="n">
        <v>0.0154737244499068</v>
      </c>
      <c r="AI83" s="2" t="n">
        <v>0.0485523737020948</v>
      </c>
      <c r="AJ83" s="2" t="n">
        <v>217080.622279201</v>
      </c>
      <c r="AK83" s="2" t="n">
        <v>316737.127829304</v>
      </c>
      <c r="AL83" s="2" t="n">
        <v>272983.582366324</v>
      </c>
      <c r="AM83" s="2" t="n">
        <v>197832.233229459</v>
      </c>
      <c r="AN83" s="2" t="n">
        <v>66745.3945562159</v>
      </c>
      <c r="AO83" s="2" t="n">
        <v>371654.763782799</v>
      </c>
      <c r="AP83" s="2" t="n">
        <v>623899.688729717</v>
      </c>
      <c r="AQ83" s="2" t="n">
        <v>1110661.26202887</v>
      </c>
      <c r="AR83" s="2" t="n">
        <v>477817.370090399</v>
      </c>
      <c r="AS83" s="2" t="n">
        <v>1254672.97575287</v>
      </c>
    </row>
    <row r="84">
      <c r="A84" s="2" t="s">
        <v>668</v>
      </c>
      <c r="B84" s="2" t="n">
        <v>527.161399914839</v>
      </c>
      <c r="C84" s="2" t="n">
        <v>1.44378333333333</v>
      </c>
      <c r="D84" s="2" t="s">
        <v>59</v>
      </c>
      <c r="E84" s="2" t="s">
        <v>669</v>
      </c>
      <c r="F84" s="2" t="n">
        <v>267080</v>
      </c>
      <c r="G84" s="5" t="str">
        <f>HYPERLINK("http://funmeta.oebiotech.com/network/267080", "http://funmeta.oebiotech.com/network/267080")</f>
      </c>
      <c r="H84" s="2" t="s">
        <v>670</v>
      </c>
      <c r="I84" s="2" t="n">
        <v>44694</v>
      </c>
      <c r="J84" s="2"/>
      <c r="K84" s="2"/>
      <c r="L84" s="2" t="s">
        <v>671</v>
      </c>
      <c r="M84" s="2"/>
      <c r="N84" s="2"/>
      <c r="O84" s="2" t="n">
        <v>160469</v>
      </c>
      <c r="P84" s="2" t="s">
        <v>672</v>
      </c>
      <c r="Q84" s="2" t="s">
        <v>673</v>
      </c>
      <c r="R84" s="2" t="s">
        <v>674</v>
      </c>
      <c r="S84" s="2" t="s">
        <v>137</v>
      </c>
      <c r="T84" s="2" t="s">
        <v>138</v>
      </c>
      <c r="U84" s="2" t="s">
        <v>675</v>
      </c>
      <c r="V84" s="2" t="s">
        <v>54</v>
      </c>
      <c r="W84" s="2" t="n">
        <v>39</v>
      </c>
      <c r="X84" s="2" t="n">
        <v>6.62</v>
      </c>
      <c r="Y84" s="2" t="s">
        <v>363</v>
      </c>
      <c r="Z84" s="2" t="s">
        <v>676</v>
      </c>
      <c r="AA84" s="2" t="n">
        <v>6.23659015226444</v>
      </c>
      <c r="AB84" s="2" t="n">
        <v>2.04949624452301</v>
      </c>
      <c r="AC84" s="2" t="n">
        <v>626608.172521669</v>
      </c>
      <c r="AD84" s="2" t="n">
        <v>144098.448053475</v>
      </c>
      <c r="AE84" s="4" t="n">
        <v>4.34847273503692</v>
      </c>
      <c r="AF84" s="4" t="n">
        <v>2.12050878843797</v>
      </c>
      <c r="AG84" s="4" t="s">
        <v>72</v>
      </c>
      <c r="AH84" s="2" t="n">
        <v>0.044152250662797</v>
      </c>
      <c r="AI84" s="2" t="n">
        <v>0.0973409288502598</v>
      </c>
      <c r="AJ84" s="2" t="n">
        <v>1328539.92014964</v>
      </c>
      <c r="AK84" s="2" t="n">
        <v>694288.93893927</v>
      </c>
      <c r="AL84" s="2" t="n">
        <v>499801.50389589</v>
      </c>
      <c r="AM84" s="2" t="n">
        <v>504430.023500515</v>
      </c>
      <c r="AN84" s="2" t="n">
        <v>105980.476123028</v>
      </c>
      <c r="AO84" s="2" t="n">
        <v>137474.166236744</v>
      </c>
      <c r="AP84" s="2" t="n">
        <v>202178.851456874</v>
      </c>
      <c r="AQ84" s="2" t="n">
        <v>48687.1090884513</v>
      </c>
      <c r="AR84" s="2" t="n">
        <v>114682.11273805</v>
      </c>
      <c r="AS84" s="2" t="n">
        <v>217470.000747255</v>
      </c>
    </row>
    <row r="85">
      <c r="A85" s="2" t="s">
        <v>677</v>
      </c>
      <c r="B85" s="2" t="n">
        <v>633.249345534342</v>
      </c>
      <c r="C85" s="2" t="n">
        <v>6.11275</v>
      </c>
      <c r="D85" s="2" t="s">
        <v>46</v>
      </c>
      <c r="E85" s="2" t="s">
        <v>678</v>
      </c>
      <c r="F85" s="2" t="n">
        <v>61649</v>
      </c>
      <c r="G85" s="5" t="str">
        <f>HYPERLINK("http://funmeta.oebiotech.com/network/61649", "http://funmeta.oebiotech.com/network/61649")</f>
      </c>
      <c r="H85" s="2" t="s">
        <v>679</v>
      </c>
      <c r="I85" s="2" t="n">
        <v>92950</v>
      </c>
      <c r="J85" s="2"/>
      <c r="K85" s="2"/>
      <c r="L85" s="2"/>
      <c r="M85" s="2"/>
      <c r="N85" s="2"/>
      <c r="O85" s="2" t="n">
        <v>162960</v>
      </c>
      <c r="P85" s="2" t="s">
        <v>680</v>
      </c>
      <c r="Q85" s="2" t="s">
        <v>681</v>
      </c>
      <c r="R85" s="2" t="s">
        <v>682</v>
      </c>
      <c r="S85" s="2" t="s">
        <v>110</v>
      </c>
      <c r="T85" s="2" t="s">
        <v>111</v>
      </c>
      <c r="U85" s="2" t="s">
        <v>112</v>
      </c>
      <c r="V85" s="2" t="s">
        <v>54</v>
      </c>
      <c r="W85" s="2" t="n">
        <v>38.7</v>
      </c>
      <c r="X85" s="2" t="n">
        <v>0</v>
      </c>
      <c r="Y85" s="2" t="s">
        <v>131</v>
      </c>
      <c r="Z85" s="2" t="s">
        <v>683</v>
      </c>
      <c r="AA85" s="2" t="n">
        <v>1.34068132092764</v>
      </c>
      <c r="AB85" s="2" t="n">
        <v>2.01401251627192</v>
      </c>
      <c r="AC85" s="2" t="n">
        <v>4559.42411652291</v>
      </c>
      <c r="AD85" s="2" t="n">
        <v>487625.644332949</v>
      </c>
      <c r="AE85" s="3" t="n">
        <v>0.0093502549948127</v>
      </c>
      <c r="AF85" s="3" t="n">
        <v>-6.74077857477033</v>
      </c>
      <c r="AG85" s="3" t="s">
        <v>57</v>
      </c>
      <c r="AH85" s="2" t="n">
        <v>0.0069837786818154</v>
      </c>
      <c r="AI85" s="2" t="n">
        <v>0.0283021736344663</v>
      </c>
      <c r="AJ85" s="2" t="n">
        <v>0.00000136409140715624</v>
      </c>
      <c r="AK85" s="2" t="n">
        <v>0.00000136409140715624</v>
      </c>
      <c r="AL85" s="2" t="n">
        <v>22797.1205771582</v>
      </c>
      <c r="AM85" s="2" t="n">
        <v>0.00000136409140715624</v>
      </c>
      <c r="AN85" s="2" t="n">
        <v>0.00000136409140715624</v>
      </c>
      <c r="AO85" s="2" t="n">
        <v>593183.855057505</v>
      </c>
      <c r="AP85" s="2" t="n">
        <v>850362.490408935</v>
      </c>
      <c r="AQ85" s="2" t="n">
        <v>471837.776130119</v>
      </c>
      <c r="AR85" s="2" t="n">
        <v>22233.1124598637</v>
      </c>
      <c r="AS85" s="2" t="n">
        <v>500510.987608321</v>
      </c>
    </row>
    <row r="86">
      <c r="A86" s="2" t="s">
        <v>684</v>
      </c>
      <c r="B86" s="2" t="n">
        <v>360.212950694971</v>
      </c>
      <c r="C86" s="2" t="n">
        <v>4.50343333333333</v>
      </c>
      <c r="D86" s="2" t="s">
        <v>59</v>
      </c>
      <c r="E86" s="2" t="s">
        <v>685</v>
      </c>
      <c r="F86" s="2" t="n">
        <v>264662</v>
      </c>
      <c r="G86" s="5" t="str">
        <f>HYPERLINK("http://funmeta.oebiotech.com/network/264662", "http://funmeta.oebiotech.com/network/264662")</f>
      </c>
      <c r="H86" s="2"/>
      <c r="I86" s="2" t="n">
        <v>22126</v>
      </c>
      <c r="J86" s="2"/>
      <c r="K86" s="2"/>
      <c r="L86" s="2"/>
      <c r="M86" s="2"/>
      <c r="N86" s="2"/>
      <c r="O86" s="2" t="n">
        <v>145458918</v>
      </c>
      <c r="P86" s="2"/>
      <c r="Q86" s="2" t="s">
        <v>686</v>
      </c>
      <c r="R86" s="2" t="s">
        <v>687</v>
      </c>
      <c r="S86" s="2" t="s">
        <v>77</v>
      </c>
      <c r="T86" s="2" t="s">
        <v>77</v>
      </c>
      <c r="U86" s="2" t="s">
        <v>77</v>
      </c>
      <c r="V86" s="2" t="s">
        <v>92</v>
      </c>
      <c r="W86" s="2" t="n">
        <v>51.1</v>
      </c>
      <c r="X86" s="2" t="n">
        <v>52.7</v>
      </c>
      <c r="Y86" s="2" t="s">
        <v>248</v>
      </c>
      <c r="Z86" s="2" t="s">
        <v>688</v>
      </c>
      <c r="AA86" s="2" t="n">
        <v>0.107462625269832</v>
      </c>
      <c r="AB86" s="2" t="n">
        <v>2.006824934683</v>
      </c>
      <c r="AC86" s="2" t="n">
        <v>152592.296315372</v>
      </c>
      <c r="AD86" s="2" t="n">
        <v>574053.368136196</v>
      </c>
      <c r="AE86" s="3" t="n">
        <v>0.265815523059816</v>
      </c>
      <c r="AF86" s="3" t="n">
        <v>-1.91150273749867</v>
      </c>
      <c r="AG86" s="3" t="s">
        <v>57</v>
      </c>
      <c r="AH86" s="2" t="n">
        <v>0.000153122129545632</v>
      </c>
      <c r="AI86" s="2" t="n">
        <v>0.00187718761325817</v>
      </c>
      <c r="AJ86" s="2" t="n">
        <v>49769.2805779556</v>
      </c>
      <c r="AK86" s="2" t="n">
        <v>271845.247791508</v>
      </c>
      <c r="AL86" s="2" t="n">
        <v>298168.62641897</v>
      </c>
      <c r="AM86" s="2" t="n">
        <v>130506.604158705</v>
      </c>
      <c r="AN86" s="2" t="n">
        <v>12671.72262972</v>
      </c>
      <c r="AO86" s="2" t="n">
        <v>653352.262003415</v>
      </c>
      <c r="AP86" s="2" t="n">
        <v>522390.871882443</v>
      </c>
      <c r="AQ86" s="2" t="n">
        <v>606280.400962425</v>
      </c>
      <c r="AR86" s="2" t="n">
        <v>518019.398293293</v>
      </c>
      <c r="AS86" s="2" t="n">
        <v>570223.907539403</v>
      </c>
    </row>
    <row r="87">
      <c r="A87" s="2" t="s">
        <v>689</v>
      </c>
      <c r="B87" s="2" t="n">
        <v>288.191917406854</v>
      </c>
      <c r="C87" s="2" t="n">
        <v>4.0214</v>
      </c>
      <c r="D87" s="2" t="s">
        <v>59</v>
      </c>
      <c r="E87" s="2" t="s">
        <v>690</v>
      </c>
      <c r="F87" s="2" t="n">
        <v>263693</v>
      </c>
      <c r="G87" s="5" t="str">
        <f>HYPERLINK("http://funmeta.oebiotech.com/network/263693", "http://funmeta.oebiotech.com/network/263693")</f>
      </c>
      <c r="H87" s="2"/>
      <c r="I87" s="2" t="n">
        <v>21121</v>
      </c>
      <c r="J87" s="2"/>
      <c r="K87" s="2"/>
      <c r="L87" s="2"/>
      <c r="M87" s="2"/>
      <c r="N87" s="2"/>
      <c r="O87" s="2" t="n">
        <v>82961749</v>
      </c>
      <c r="P87" s="2"/>
      <c r="Q87" s="2" t="s">
        <v>691</v>
      </c>
      <c r="R87" s="2" t="s">
        <v>692</v>
      </c>
      <c r="S87" s="2" t="s">
        <v>110</v>
      </c>
      <c r="T87" s="2" t="s">
        <v>111</v>
      </c>
      <c r="U87" s="2" t="s">
        <v>112</v>
      </c>
      <c r="V87" s="2" t="s">
        <v>92</v>
      </c>
      <c r="W87" s="2" t="n">
        <v>53.2</v>
      </c>
      <c r="X87" s="2" t="n">
        <v>62.9</v>
      </c>
      <c r="Y87" s="2" t="s">
        <v>332</v>
      </c>
      <c r="Z87" s="2" t="s">
        <v>693</v>
      </c>
      <c r="AA87" s="2" t="n">
        <v>0.46896841957537</v>
      </c>
      <c r="AB87" s="2" t="n">
        <v>1.99525123014586</v>
      </c>
      <c r="AC87" s="2" t="n">
        <v>109663.389458549</v>
      </c>
      <c r="AD87" s="2" t="n">
        <v>528016.801670505</v>
      </c>
      <c r="AE87" s="3" t="n">
        <v>0.207689204418501</v>
      </c>
      <c r="AF87" s="3" t="n">
        <v>-2.26750186732622</v>
      </c>
      <c r="AG87" s="3" t="s">
        <v>57</v>
      </c>
      <c r="AH87" s="2" t="n">
        <v>0.0000442195628360573</v>
      </c>
      <c r="AI87" s="2" t="n">
        <v>0.000895195050599085</v>
      </c>
      <c r="AJ87" s="2" t="n">
        <v>32274.219047802</v>
      </c>
      <c r="AK87" s="2" t="n">
        <v>222802.378083538</v>
      </c>
      <c r="AL87" s="2" t="n">
        <v>227163.967658809</v>
      </c>
      <c r="AM87" s="2" t="n">
        <v>62406.4757006294</v>
      </c>
      <c r="AN87" s="2" t="n">
        <v>3669.90680196462</v>
      </c>
      <c r="AO87" s="2" t="n">
        <v>520406.537720807</v>
      </c>
      <c r="AP87" s="2" t="n">
        <v>508459.307419677</v>
      </c>
      <c r="AQ87" s="2" t="n">
        <v>610006.628027515</v>
      </c>
      <c r="AR87" s="2" t="n">
        <v>491790.37553652</v>
      </c>
      <c r="AS87" s="2" t="n">
        <v>509421.159648007</v>
      </c>
    </row>
    <row r="88">
      <c r="A88" s="2" t="s">
        <v>694</v>
      </c>
      <c r="B88" s="2" t="n">
        <v>361.171981367416</v>
      </c>
      <c r="C88" s="2" t="n">
        <v>1.5703</v>
      </c>
      <c r="D88" s="2" t="s">
        <v>59</v>
      </c>
      <c r="E88" s="2" t="s">
        <v>695</v>
      </c>
      <c r="F88" s="2" t="n">
        <v>261384</v>
      </c>
      <c r="G88" s="5" t="str">
        <f>HYPERLINK("http://funmeta.oebiotech.com/network/261384", "http://funmeta.oebiotech.com/network/261384")</f>
      </c>
      <c r="H88" s="2"/>
      <c r="I88" s="2" t="n">
        <v>18700</v>
      </c>
      <c r="J88" s="2"/>
      <c r="K88" s="2"/>
      <c r="L88" s="2"/>
      <c r="M88" s="2"/>
      <c r="N88" s="2"/>
      <c r="O88" s="2" t="n">
        <v>145458912</v>
      </c>
      <c r="P88" s="2"/>
      <c r="Q88" s="2" t="s">
        <v>696</v>
      </c>
      <c r="R88" s="2" t="s">
        <v>697</v>
      </c>
      <c r="S88" s="2" t="s">
        <v>77</v>
      </c>
      <c r="T88" s="2" t="s">
        <v>77</v>
      </c>
      <c r="U88" s="2" t="s">
        <v>77</v>
      </c>
      <c r="V88" s="2" t="s">
        <v>92</v>
      </c>
      <c r="W88" s="2" t="n">
        <v>53</v>
      </c>
      <c r="X88" s="2" t="n">
        <v>56.5</v>
      </c>
      <c r="Y88" s="2" t="s">
        <v>332</v>
      </c>
      <c r="Z88" s="2" t="s">
        <v>698</v>
      </c>
      <c r="AA88" s="2" t="n">
        <v>0.571432265513365</v>
      </c>
      <c r="AB88" s="2" t="n">
        <v>1.9947564670256</v>
      </c>
      <c r="AC88" s="2" t="n">
        <v>176240.559757352</v>
      </c>
      <c r="AD88" s="2" t="n">
        <v>602120.326692888</v>
      </c>
      <c r="AE88" s="3" t="n">
        <v>0.292699900575261</v>
      </c>
      <c r="AF88" s="3" t="n">
        <v>-1.77250583919742</v>
      </c>
      <c r="AG88" s="3" t="s">
        <v>57</v>
      </c>
      <c r="AH88" s="2" t="n">
        <v>0.0000441123670366606</v>
      </c>
      <c r="AI88" s="2" t="n">
        <v>0.000895195050599085</v>
      </c>
      <c r="AJ88" s="2" t="n">
        <v>139501.42649428</v>
      </c>
      <c r="AK88" s="2" t="n">
        <v>260395.498647287</v>
      </c>
      <c r="AL88" s="2" t="n">
        <v>274588.831332892</v>
      </c>
      <c r="AM88" s="2" t="n">
        <v>182386.161797374</v>
      </c>
      <c r="AN88" s="2" t="n">
        <v>24330.880514928</v>
      </c>
      <c r="AO88" s="2" t="n">
        <v>556330.569242441</v>
      </c>
      <c r="AP88" s="2" t="n">
        <v>571578.244768484</v>
      </c>
      <c r="AQ88" s="2" t="n">
        <v>668586.337198375</v>
      </c>
      <c r="AR88" s="2" t="n">
        <v>543317.862450358</v>
      </c>
      <c r="AS88" s="2" t="n">
        <v>670788.619804782</v>
      </c>
    </row>
    <row r="89">
      <c r="A89" s="2" t="s">
        <v>699</v>
      </c>
      <c r="B89" s="2" t="n">
        <v>366.194789322549</v>
      </c>
      <c r="C89" s="2" t="n">
        <v>6.45935</v>
      </c>
      <c r="D89" s="2" t="s">
        <v>46</v>
      </c>
      <c r="E89" s="2" t="s">
        <v>700</v>
      </c>
      <c r="F89" s="2" t="n">
        <v>202589</v>
      </c>
      <c r="G89" s="5" t="str">
        <f>HYPERLINK("http://funmeta.oebiotech.com/network/202589", "http://funmeta.oebiotech.com/network/202589")</f>
      </c>
      <c r="H89" s="2" t="s">
        <v>701</v>
      </c>
      <c r="I89" s="2"/>
      <c r="J89" s="2"/>
      <c r="K89" s="2"/>
      <c r="L89" s="2"/>
      <c r="M89" s="2"/>
      <c r="N89" s="2"/>
      <c r="O89" s="2"/>
      <c r="P89" s="2"/>
      <c r="Q89" s="2" t="s">
        <v>702</v>
      </c>
      <c r="R89" s="2" t="s">
        <v>703</v>
      </c>
      <c r="S89" s="2" t="s">
        <v>51</v>
      </c>
      <c r="T89" s="2" t="s">
        <v>227</v>
      </c>
      <c r="U89" s="2" t="s">
        <v>704</v>
      </c>
      <c r="V89" s="2" t="s">
        <v>54</v>
      </c>
      <c r="W89" s="2" t="n">
        <v>41.3</v>
      </c>
      <c r="X89" s="2" t="n">
        <v>21.1</v>
      </c>
      <c r="Y89" s="2" t="s">
        <v>290</v>
      </c>
      <c r="Z89" s="2" t="s">
        <v>705</v>
      </c>
      <c r="AA89" s="2" t="n">
        <v>3.37877693824735</v>
      </c>
      <c r="AB89" s="2" t="n">
        <v>1.96695987263385</v>
      </c>
      <c r="AC89" s="2" t="n">
        <v>8139.85000284608</v>
      </c>
      <c r="AD89" s="2" t="n">
        <v>516492.114951091</v>
      </c>
      <c r="AE89" s="3" t="n">
        <v>0.0157598727400066</v>
      </c>
      <c r="AF89" s="3" t="n">
        <v>-5.98760030460623</v>
      </c>
      <c r="AG89" s="3" t="s">
        <v>57</v>
      </c>
      <c r="AH89" s="2" t="n">
        <v>0.018945223638728</v>
      </c>
      <c r="AI89" s="2" t="n">
        <v>0.0556013170245344</v>
      </c>
      <c r="AJ89" s="2" t="n">
        <v>693.984937089721</v>
      </c>
      <c r="AK89" s="2" t="n">
        <v>3296.15356928531</v>
      </c>
      <c r="AL89" s="2" t="n">
        <v>18784.2795846813</v>
      </c>
      <c r="AM89" s="2" t="n">
        <v>17114.4408439264</v>
      </c>
      <c r="AN89" s="2" t="n">
        <v>810.391079247656</v>
      </c>
      <c r="AO89" s="2" t="n">
        <v>306212.725088308</v>
      </c>
      <c r="AP89" s="2" t="n">
        <v>296235.757143458</v>
      </c>
      <c r="AQ89" s="2" t="n">
        <v>1205113.21878937</v>
      </c>
      <c r="AR89" s="2" t="n">
        <v>406560.098286713</v>
      </c>
      <c r="AS89" s="2" t="n">
        <v>368338.775447606</v>
      </c>
    </row>
    <row r="90">
      <c r="A90" s="2" t="s">
        <v>706</v>
      </c>
      <c r="B90" s="2" t="n">
        <v>332.190232149505</v>
      </c>
      <c r="C90" s="2" t="n">
        <v>9.5164</v>
      </c>
      <c r="D90" s="2" t="s">
        <v>46</v>
      </c>
      <c r="E90" s="2" t="s">
        <v>707</v>
      </c>
      <c r="F90" s="2" t="n">
        <v>267153</v>
      </c>
      <c r="G90" s="5" t="str">
        <f>HYPERLINK("http://funmeta.oebiotech.com/network/267153", "http://funmeta.oebiotech.com/network/267153")</f>
      </c>
      <c r="H90" s="2"/>
      <c r="I90" s="2" t="n">
        <v>44894</v>
      </c>
      <c r="J90" s="2"/>
      <c r="K90" s="2"/>
      <c r="L90" s="2"/>
      <c r="M90" s="2"/>
      <c r="N90" s="2"/>
      <c r="O90" s="2" t="n">
        <v>2727678</v>
      </c>
      <c r="P90" s="2" t="s">
        <v>708</v>
      </c>
      <c r="Q90" s="2" t="s">
        <v>709</v>
      </c>
      <c r="R90" s="2" t="s">
        <v>710</v>
      </c>
      <c r="S90" s="2" t="s">
        <v>110</v>
      </c>
      <c r="T90" s="2" t="s">
        <v>111</v>
      </c>
      <c r="U90" s="2" t="s">
        <v>112</v>
      </c>
      <c r="V90" s="2" t="s">
        <v>54</v>
      </c>
      <c r="W90" s="2" t="n">
        <v>39.1</v>
      </c>
      <c r="X90" s="2" t="n">
        <v>0</v>
      </c>
      <c r="Y90" s="2" t="s">
        <v>131</v>
      </c>
      <c r="Z90" s="2" t="s">
        <v>711</v>
      </c>
      <c r="AA90" s="2" t="n">
        <v>0.449544556329683</v>
      </c>
      <c r="AB90" s="2" t="n">
        <v>1.96524274751086</v>
      </c>
      <c r="AC90" s="2" t="n">
        <v>54169.2492128141</v>
      </c>
      <c r="AD90" s="2" t="n">
        <v>506293.030482598</v>
      </c>
      <c r="AE90" s="3" t="n">
        <v>0.106991891950754</v>
      </c>
      <c r="AF90" s="3" t="n">
        <v>-3.22442662429509</v>
      </c>
      <c r="AG90" s="3" t="s">
        <v>57</v>
      </c>
      <c r="AH90" s="2" t="n">
        <v>0.000407978992688086</v>
      </c>
      <c r="AI90" s="2" t="n">
        <v>0.00364444648956126</v>
      </c>
      <c r="AJ90" s="2" t="n">
        <v>36970.7352885184</v>
      </c>
      <c r="AK90" s="2" t="n">
        <v>61134.4137426606</v>
      </c>
      <c r="AL90" s="2" t="n">
        <v>104911.325334313</v>
      </c>
      <c r="AM90" s="2" t="n">
        <v>44705.3024105674</v>
      </c>
      <c r="AN90" s="2" t="n">
        <v>23124.4692880113</v>
      </c>
      <c r="AO90" s="2" t="n">
        <v>274545.371311703</v>
      </c>
      <c r="AP90" s="2" t="n">
        <v>385894.016084595</v>
      </c>
      <c r="AQ90" s="2" t="n">
        <v>694029.478441027</v>
      </c>
      <c r="AR90" s="2" t="n">
        <v>609122.834070772</v>
      </c>
      <c r="AS90" s="2" t="n">
        <v>567873.452504893</v>
      </c>
    </row>
    <row r="91">
      <c r="A91" s="2" t="s">
        <v>712</v>
      </c>
      <c r="B91" s="2" t="n">
        <v>635.090947319217</v>
      </c>
      <c r="C91" s="2" t="n">
        <v>1.49768333333333</v>
      </c>
      <c r="D91" s="2" t="s">
        <v>46</v>
      </c>
      <c r="E91" s="2" t="s">
        <v>713</v>
      </c>
      <c r="F91" s="2" t="n">
        <v>30931</v>
      </c>
      <c r="G91" s="5" t="str">
        <f>HYPERLINK("http://funmeta.oebiotech.com/network/30931", "http://funmeta.oebiotech.com/network/30931")</f>
      </c>
      <c r="H91" s="2"/>
      <c r="I91" s="2"/>
      <c r="J91" s="2" t="s">
        <v>714</v>
      </c>
      <c r="K91" s="2"/>
      <c r="L91" s="2"/>
      <c r="M91" s="2"/>
      <c r="N91" s="2"/>
      <c r="O91" s="2" t="n">
        <v>102402321</v>
      </c>
      <c r="P91" s="2"/>
      <c r="Q91" s="2" t="s">
        <v>715</v>
      </c>
      <c r="R91" s="2" t="s">
        <v>716</v>
      </c>
      <c r="S91" s="2" t="s">
        <v>158</v>
      </c>
      <c r="T91" s="2" t="s">
        <v>411</v>
      </c>
      <c r="U91" s="2" t="s">
        <v>412</v>
      </c>
      <c r="V91" s="2" t="s">
        <v>54</v>
      </c>
      <c r="W91" s="2" t="n">
        <v>39.1</v>
      </c>
      <c r="X91" s="2" t="n">
        <v>7.39</v>
      </c>
      <c r="Y91" s="2" t="s">
        <v>438</v>
      </c>
      <c r="Z91" s="2" t="s">
        <v>717</v>
      </c>
      <c r="AA91" s="2" t="n">
        <v>2.99619828394214</v>
      </c>
      <c r="AB91" s="2" t="n">
        <v>1.96461028915333</v>
      </c>
      <c r="AC91" s="2" t="n">
        <v>227148.596835025</v>
      </c>
      <c r="AD91" s="2" t="n">
        <v>754263.209435334</v>
      </c>
      <c r="AE91" s="3" t="n">
        <v>0.301152958269137</v>
      </c>
      <c r="AF91" s="3" t="n">
        <v>-1.73143166409446</v>
      </c>
      <c r="AG91" s="3" t="s">
        <v>57</v>
      </c>
      <c r="AH91" s="2" t="n">
        <v>0.00511723663315388</v>
      </c>
      <c r="AI91" s="2" t="n">
        <v>0.02261463549795</v>
      </c>
      <c r="AJ91" s="2" t="n">
        <v>295673.296973557</v>
      </c>
      <c r="AK91" s="2" t="n">
        <v>168065.313343775</v>
      </c>
      <c r="AL91" s="2" t="n">
        <v>118290.542026252</v>
      </c>
      <c r="AM91" s="2" t="n">
        <v>548924.366017036</v>
      </c>
      <c r="AN91" s="2" t="n">
        <v>4789.46581450418</v>
      </c>
      <c r="AO91" s="2" t="n">
        <v>828869.330251428</v>
      </c>
      <c r="AP91" s="2" t="n">
        <v>618856.334167852</v>
      </c>
      <c r="AQ91" s="2" t="n">
        <v>951863.383845103</v>
      </c>
      <c r="AR91" s="2" t="n">
        <v>946868.999949825</v>
      </c>
      <c r="AS91" s="2" t="n">
        <v>424857.998962464</v>
      </c>
    </row>
    <row r="92">
      <c r="A92" s="2" t="s">
        <v>718</v>
      </c>
      <c r="B92" s="2" t="n">
        <v>321.049111170123</v>
      </c>
      <c r="C92" s="2" t="n">
        <v>1.07996666666667</v>
      </c>
      <c r="D92" s="2" t="s">
        <v>46</v>
      </c>
      <c r="E92" s="2" t="s">
        <v>719</v>
      </c>
      <c r="F92" s="2" t="n">
        <v>47461</v>
      </c>
      <c r="G92" s="5" t="str">
        <f>HYPERLINK("http://funmeta.oebiotech.com/network/47461", "http://funmeta.oebiotech.com/network/47461")</f>
      </c>
      <c r="H92" s="2" t="s">
        <v>720</v>
      </c>
      <c r="I92" s="2" t="n">
        <v>3451</v>
      </c>
      <c r="J92" s="2"/>
      <c r="K92" s="2" t="n">
        <v>17013</v>
      </c>
      <c r="L92" s="2" t="s">
        <v>721</v>
      </c>
      <c r="M92" s="2" t="s">
        <v>722</v>
      </c>
      <c r="N92" s="2" t="s">
        <v>723</v>
      </c>
      <c r="O92" s="2" t="n">
        <v>9700</v>
      </c>
      <c r="P92" s="2" t="s">
        <v>724</v>
      </c>
      <c r="Q92" s="2" t="s">
        <v>725</v>
      </c>
      <c r="R92" s="2" t="s">
        <v>726</v>
      </c>
      <c r="S92" s="2" t="s">
        <v>360</v>
      </c>
      <c r="T92" s="2" t="s">
        <v>727</v>
      </c>
      <c r="U92" s="2" t="s">
        <v>728</v>
      </c>
      <c r="V92" s="2" t="s">
        <v>92</v>
      </c>
      <c r="W92" s="2" t="n">
        <v>59</v>
      </c>
      <c r="X92" s="2" t="n">
        <v>78.4</v>
      </c>
      <c r="Y92" s="2" t="s">
        <v>55</v>
      </c>
      <c r="Z92" s="2" t="s">
        <v>729</v>
      </c>
      <c r="AA92" s="2" t="n">
        <v>-0.665954387300851</v>
      </c>
      <c r="AB92" s="2" t="n">
        <v>1.95569257685129</v>
      </c>
      <c r="AC92" s="2" t="n">
        <v>422649.655437571</v>
      </c>
      <c r="AD92" s="2" t="n">
        <v>951264.786377888</v>
      </c>
      <c r="AE92" s="3" t="n">
        <v>0.444302849732182</v>
      </c>
      <c r="AF92" s="3" t="n">
        <v>-1.17038470014917</v>
      </c>
      <c r="AG92" s="3" t="s">
        <v>57</v>
      </c>
      <c r="AH92" s="2" t="n">
        <v>0.00670172272274039</v>
      </c>
      <c r="AI92" s="2" t="n">
        <v>0.0274438121280634</v>
      </c>
      <c r="AJ92" s="2" t="n">
        <v>613259.824545204</v>
      </c>
      <c r="AK92" s="2" t="n">
        <v>443579.692830787</v>
      </c>
      <c r="AL92" s="2" t="n">
        <v>302373.124090971</v>
      </c>
      <c r="AM92" s="2" t="n">
        <v>708119.603059619</v>
      </c>
      <c r="AN92" s="2" t="n">
        <v>45916.0326612717</v>
      </c>
      <c r="AO92" s="2" t="n">
        <v>1210442.5025365</v>
      </c>
      <c r="AP92" s="2" t="n">
        <v>1033540.15594419</v>
      </c>
      <c r="AQ92" s="2" t="n">
        <v>751397.160692658</v>
      </c>
      <c r="AR92" s="2" t="n">
        <v>766544.605431728</v>
      </c>
      <c r="AS92" s="2" t="n">
        <v>994399.507284362</v>
      </c>
    </row>
    <row r="93">
      <c r="A93" s="2" t="s">
        <v>730</v>
      </c>
      <c r="B93" s="2" t="n">
        <v>568.362082702934</v>
      </c>
      <c r="C93" s="2" t="n">
        <v>11.6167666666667</v>
      </c>
      <c r="D93" s="2" t="s">
        <v>46</v>
      </c>
      <c r="E93" s="2" t="s">
        <v>731</v>
      </c>
      <c r="F93" s="2" t="n">
        <v>19834</v>
      </c>
      <c r="G93" s="5" t="str">
        <f>HYPERLINK("http://funmeta.oebiotech.com/network/19834", "http://funmeta.oebiotech.com/network/19834")</f>
      </c>
      <c r="H93" s="2" t="s">
        <v>732</v>
      </c>
      <c r="I93" s="2" t="n">
        <v>40292</v>
      </c>
      <c r="J93" s="2" t="s">
        <v>733</v>
      </c>
      <c r="K93" s="2" t="n">
        <v>73858</v>
      </c>
      <c r="L93" s="2" t="s">
        <v>734</v>
      </c>
      <c r="M93" s="2" t="s">
        <v>735</v>
      </c>
      <c r="N93" s="2" t="s">
        <v>736</v>
      </c>
      <c r="O93" s="2" t="n">
        <v>497299</v>
      </c>
      <c r="P93" s="2" t="s">
        <v>737</v>
      </c>
      <c r="Q93" s="2" t="s">
        <v>738</v>
      </c>
      <c r="R93" s="2" t="s">
        <v>739</v>
      </c>
      <c r="S93" s="2" t="s">
        <v>66</v>
      </c>
      <c r="T93" s="2" t="s">
        <v>129</v>
      </c>
      <c r="U93" s="2" t="s">
        <v>740</v>
      </c>
      <c r="V93" s="2" t="s">
        <v>92</v>
      </c>
      <c r="W93" s="2" t="n">
        <v>65.1</v>
      </c>
      <c r="X93" s="2" t="n">
        <v>94.5</v>
      </c>
      <c r="Y93" s="2" t="s">
        <v>131</v>
      </c>
      <c r="Z93" s="2" t="s">
        <v>741</v>
      </c>
      <c r="AA93" s="2" t="n">
        <v>0.172211825671982</v>
      </c>
      <c r="AB93" s="2" t="n">
        <v>1.94015203774815</v>
      </c>
      <c r="AC93" s="2" t="n">
        <v>500999.765410105</v>
      </c>
      <c r="AD93" s="2" t="n">
        <v>65999.1440690652</v>
      </c>
      <c r="AE93" s="4" t="n">
        <v>7.59100398159453</v>
      </c>
      <c r="AF93" s="4" t="n">
        <v>2.92429070823343</v>
      </c>
      <c r="AG93" s="4" t="s">
        <v>72</v>
      </c>
      <c r="AH93" s="2" t="n">
        <v>0.0237398663151194</v>
      </c>
      <c r="AI93" s="2" t="n">
        <v>0.0646147778014863</v>
      </c>
      <c r="AJ93" s="2" t="n">
        <v>1070657.24863063</v>
      </c>
      <c r="AK93" s="2" t="n">
        <v>383398.379150776</v>
      </c>
      <c r="AL93" s="2" t="n">
        <v>555076.630845369</v>
      </c>
      <c r="AM93" s="2" t="n">
        <v>223367.306277349</v>
      </c>
      <c r="AN93" s="2" t="n">
        <v>272499.262146399</v>
      </c>
      <c r="AO93" s="2" t="n">
        <v>70598.4203032198</v>
      </c>
      <c r="AP93" s="2" t="n">
        <v>61002.2033629802</v>
      </c>
      <c r="AQ93" s="2" t="n">
        <v>173258.237045818</v>
      </c>
      <c r="AR93" s="2" t="n">
        <v>19895.8555489495</v>
      </c>
      <c r="AS93" s="2" t="n">
        <v>5241.00408435823</v>
      </c>
    </row>
    <row r="94">
      <c r="A94" s="2" t="s">
        <v>742</v>
      </c>
      <c r="B94" s="2" t="n">
        <v>709.278598082168</v>
      </c>
      <c r="C94" s="2" t="n">
        <v>8.01151666666667</v>
      </c>
      <c r="D94" s="2" t="s">
        <v>46</v>
      </c>
      <c r="E94" s="2" t="s">
        <v>743</v>
      </c>
      <c r="F94" s="2" t="n">
        <v>59308</v>
      </c>
      <c r="G94" s="5" t="str">
        <f>HYPERLINK("http://funmeta.oebiotech.com/network/59308", "http://funmeta.oebiotech.com/network/59308")</f>
      </c>
      <c r="H94" s="2" t="s">
        <v>744</v>
      </c>
      <c r="I94" s="2" t="n">
        <v>90726</v>
      </c>
      <c r="J94" s="2"/>
      <c r="K94" s="2"/>
      <c r="L94" s="2"/>
      <c r="M94" s="2"/>
      <c r="N94" s="2"/>
      <c r="O94" s="2" t="n">
        <v>131751753</v>
      </c>
      <c r="P94" s="2" t="s">
        <v>745</v>
      </c>
      <c r="Q94" s="2" t="s">
        <v>746</v>
      </c>
      <c r="R94" s="2" t="s">
        <v>747</v>
      </c>
      <c r="S94" s="2" t="s">
        <v>428</v>
      </c>
      <c r="T94" s="2" t="s">
        <v>748</v>
      </c>
      <c r="U94" s="2" t="s">
        <v>77</v>
      </c>
      <c r="V94" s="2" t="s">
        <v>54</v>
      </c>
      <c r="W94" s="2" t="n">
        <v>39.9</v>
      </c>
      <c r="X94" s="2" t="n">
        <v>11.5</v>
      </c>
      <c r="Y94" s="2" t="s">
        <v>85</v>
      </c>
      <c r="Z94" s="2" t="s">
        <v>749</v>
      </c>
      <c r="AA94" s="2" t="n">
        <v>2.71576183003713</v>
      </c>
      <c r="AB94" s="2" t="n">
        <v>1.93706607451869</v>
      </c>
      <c r="AC94" s="2" t="n">
        <v>4530.74134445133</v>
      </c>
      <c r="AD94" s="2" t="n">
        <v>397881.024128393</v>
      </c>
      <c r="AE94" s="3" t="n">
        <v>0.011387176240376</v>
      </c>
      <c r="AF94" s="3" t="n">
        <v>-6.45644615379736</v>
      </c>
      <c r="AG94" s="3" t="s">
        <v>57</v>
      </c>
      <c r="AH94" s="2" t="n">
        <v>0.00227675191224903</v>
      </c>
      <c r="AI94" s="2" t="n">
        <v>0.0121620475895892</v>
      </c>
      <c r="AJ94" s="2" t="n">
        <v>6569.08543676941</v>
      </c>
      <c r="AK94" s="2" t="n">
        <v>14351.2228800594</v>
      </c>
      <c r="AL94" s="2" t="n">
        <v>1733.39840269964</v>
      </c>
      <c r="AM94" s="2" t="n">
        <v>0.00000136409140715624</v>
      </c>
      <c r="AN94" s="2" t="n">
        <v>0.00000136409140715624</v>
      </c>
      <c r="AO94" s="2" t="n">
        <v>645655.606963737</v>
      </c>
      <c r="AP94" s="2" t="n">
        <v>344423.932423561</v>
      </c>
      <c r="AQ94" s="2" t="n">
        <v>488184.172288684</v>
      </c>
      <c r="AR94" s="2" t="n">
        <v>103021.10663621</v>
      </c>
      <c r="AS94" s="2" t="n">
        <v>408120.302329774</v>
      </c>
    </row>
    <row r="95">
      <c r="A95" s="2" t="s">
        <v>750</v>
      </c>
      <c r="B95" s="2" t="n">
        <v>189.123638074046</v>
      </c>
      <c r="C95" s="2" t="n">
        <v>1.49688333333333</v>
      </c>
      <c r="D95" s="2" t="s">
        <v>59</v>
      </c>
      <c r="E95" s="2" t="s">
        <v>751</v>
      </c>
      <c r="F95" s="2" t="n">
        <v>266163</v>
      </c>
      <c r="G95" s="5" t="str">
        <f>HYPERLINK("http://funmeta.oebiotech.com/network/266163", "http://funmeta.oebiotech.com/network/266163")</f>
      </c>
      <c r="H95" s="2"/>
      <c r="I95" s="2" t="n">
        <v>23807</v>
      </c>
      <c r="J95" s="2"/>
      <c r="K95" s="2"/>
      <c r="L95" s="2"/>
      <c r="M95" s="2"/>
      <c r="N95" s="2"/>
      <c r="O95" s="2" t="n">
        <v>6992868</v>
      </c>
      <c r="P95" s="2"/>
      <c r="Q95" s="2" t="s">
        <v>752</v>
      </c>
      <c r="R95" s="2" t="s">
        <v>753</v>
      </c>
      <c r="S95" s="2" t="s">
        <v>110</v>
      </c>
      <c r="T95" s="2" t="s">
        <v>111</v>
      </c>
      <c r="U95" s="2" t="s">
        <v>112</v>
      </c>
      <c r="V95" s="2" t="s">
        <v>69</v>
      </c>
      <c r="W95" s="2" t="n">
        <v>52.9</v>
      </c>
      <c r="X95" s="2" t="n">
        <v>71.2</v>
      </c>
      <c r="Y95" s="2" t="s">
        <v>248</v>
      </c>
      <c r="Z95" s="2" t="s">
        <v>513</v>
      </c>
      <c r="AA95" s="2" t="n">
        <v>1.43135359948119</v>
      </c>
      <c r="AB95" s="2" t="n">
        <v>1.93101137556562</v>
      </c>
      <c r="AC95" s="2" t="n">
        <v>448799.974192651</v>
      </c>
      <c r="AD95" s="2" t="n">
        <v>999281.226612494</v>
      </c>
      <c r="AE95" s="3" t="n">
        <v>0.449122791703049</v>
      </c>
      <c r="AF95" s="3" t="n">
        <v>-1.1548181582461</v>
      </c>
      <c r="AG95" s="3" t="s">
        <v>57</v>
      </c>
      <c r="AH95" s="2" t="n">
        <v>0.0273928808330401</v>
      </c>
      <c r="AI95" s="2" t="n">
        <v>0.0713916351515601</v>
      </c>
      <c r="AJ95" s="2" t="n">
        <v>552175.15320447</v>
      </c>
      <c r="AK95" s="2" t="n">
        <v>584687.010271856</v>
      </c>
      <c r="AL95" s="2" t="n">
        <v>524957.396353988</v>
      </c>
      <c r="AM95" s="2" t="n">
        <v>425435.13304825</v>
      </c>
      <c r="AN95" s="2" t="n">
        <v>156745.178084689</v>
      </c>
      <c r="AO95" s="2" t="n">
        <v>571812.840159133</v>
      </c>
      <c r="AP95" s="2" t="n">
        <v>890883.457697071</v>
      </c>
      <c r="AQ95" s="2" t="n">
        <v>1290891.17956354</v>
      </c>
      <c r="AR95" s="2" t="n">
        <v>670913.992978156</v>
      </c>
      <c r="AS95" s="2" t="n">
        <v>1571904.66266457</v>
      </c>
    </row>
    <row r="96">
      <c r="A96" s="2" t="s">
        <v>754</v>
      </c>
      <c r="B96" s="2" t="n">
        <v>794.547439968823</v>
      </c>
      <c r="C96" s="2" t="n">
        <v>14.49505</v>
      </c>
      <c r="D96" s="2" t="s">
        <v>59</v>
      </c>
      <c r="E96" s="2" t="s">
        <v>755</v>
      </c>
      <c r="F96" s="2" t="n">
        <v>19808</v>
      </c>
      <c r="G96" s="5" t="str">
        <f>HYPERLINK("http://funmeta.oebiotech.com/network/19808", "http://funmeta.oebiotech.com/network/19808")</f>
      </c>
      <c r="H96" s="2"/>
      <c r="I96" s="2" t="n">
        <v>46677</v>
      </c>
      <c r="J96" s="2" t="s">
        <v>756</v>
      </c>
      <c r="K96" s="2"/>
      <c r="L96" s="2"/>
      <c r="M96" s="2"/>
      <c r="N96" s="2"/>
      <c r="O96" s="2" t="n">
        <v>44256601</v>
      </c>
      <c r="P96" s="2"/>
      <c r="Q96" s="2" t="s">
        <v>757</v>
      </c>
      <c r="R96" s="2" t="s">
        <v>758</v>
      </c>
      <c r="S96" s="2" t="s">
        <v>66</v>
      </c>
      <c r="T96" s="2" t="s">
        <v>129</v>
      </c>
      <c r="U96" s="2" t="s">
        <v>740</v>
      </c>
      <c r="V96" s="2" t="s">
        <v>54</v>
      </c>
      <c r="W96" s="2" t="n">
        <v>38.9</v>
      </c>
      <c r="X96" s="2" t="n">
        <v>0</v>
      </c>
      <c r="Y96" s="2" t="s">
        <v>363</v>
      </c>
      <c r="Z96" s="2" t="s">
        <v>759</v>
      </c>
      <c r="AA96" s="2" t="n">
        <v>2.00041714531719</v>
      </c>
      <c r="AB96" s="2" t="n">
        <v>1.92581628201694</v>
      </c>
      <c r="AC96" s="2" t="n">
        <v>750753.908587231</v>
      </c>
      <c r="AD96" s="2" t="n">
        <v>211084.275505399</v>
      </c>
      <c r="AE96" s="4" t="n">
        <v>3.55665483271883</v>
      </c>
      <c r="AF96" s="4" t="n">
        <v>1.83052097010185</v>
      </c>
      <c r="AG96" s="4" t="s">
        <v>72</v>
      </c>
      <c r="AH96" s="2" t="n">
        <v>0.0441932175041013</v>
      </c>
      <c r="AI96" s="2" t="n">
        <v>0.0973687128528281</v>
      </c>
      <c r="AJ96" s="2" t="n">
        <v>1222632.81837027</v>
      </c>
      <c r="AK96" s="2" t="n">
        <v>286683.770731354</v>
      </c>
      <c r="AL96" s="2" t="n">
        <v>280379.48498411</v>
      </c>
      <c r="AM96" s="2" t="n">
        <v>625204.864138731</v>
      </c>
      <c r="AN96" s="2" t="n">
        <v>1338868.60471169</v>
      </c>
      <c r="AO96" s="2" t="n">
        <v>173392.110179971</v>
      </c>
      <c r="AP96" s="2" t="n">
        <v>204459.204407631</v>
      </c>
      <c r="AQ96" s="2" t="n">
        <v>220242.693642921</v>
      </c>
      <c r="AR96" s="2" t="n">
        <v>208001.117327833</v>
      </c>
      <c r="AS96" s="2" t="n">
        <v>249326.25196864</v>
      </c>
    </row>
    <row r="97">
      <c r="A97" s="2" t="s">
        <v>760</v>
      </c>
      <c r="B97" s="2" t="n">
        <v>318.202498141912</v>
      </c>
      <c r="C97" s="2" t="n">
        <v>2.06415</v>
      </c>
      <c r="D97" s="2" t="s">
        <v>59</v>
      </c>
      <c r="E97" s="2" t="s">
        <v>761</v>
      </c>
      <c r="F97" s="2" t="n">
        <v>262232</v>
      </c>
      <c r="G97" s="5" t="str">
        <f>HYPERLINK("http://funmeta.oebiotech.com/network/262232", "http://funmeta.oebiotech.com/network/262232")</f>
      </c>
      <c r="H97" s="2"/>
      <c r="I97" s="2" t="n">
        <v>19584</v>
      </c>
      <c r="J97" s="2"/>
      <c r="K97" s="2"/>
      <c r="L97" s="2"/>
      <c r="M97" s="2"/>
      <c r="N97" s="2"/>
      <c r="O97" s="2" t="n">
        <v>145459088</v>
      </c>
      <c r="P97" s="2"/>
      <c r="Q97" s="2" t="s">
        <v>762</v>
      </c>
      <c r="R97" s="2" t="s">
        <v>763</v>
      </c>
      <c r="S97" s="2" t="s">
        <v>77</v>
      </c>
      <c r="T97" s="2" t="s">
        <v>77</v>
      </c>
      <c r="U97" s="2" t="s">
        <v>77</v>
      </c>
      <c r="V97" s="2" t="s">
        <v>122</v>
      </c>
      <c r="W97" s="2" t="n">
        <v>51</v>
      </c>
      <c r="X97" s="2" t="n">
        <v>39.3</v>
      </c>
      <c r="Y97" s="2" t="s">
        <v>248</v>
      </c>
      <c r="Z97" s="2" t="s">
        <v>764</v>
      </c>
      <c r="AA97" s="2" t="n">
        <v>0.475202284717322</v>
      </c>
      <c r="AB97" s="2" t="n">
        <v>1.91191360339206</v>
      </c>
      <c r="AC97" s="2" t="n">
        <v>34184.3825222702</v>
      </c>
      <c r="AD97" s="2" t="n">
        <v>401876.483076312</v>
      </c>
      <c r="AE97" s="3" t="n">
        <v>0.0850619132042591</v>
      </c>
      <c r="AF97" s="3" t="n">
        <v>-3.55534288548991</v>
      </c>
      <c r="AG97" s="3" t="s">
        <v>57</v>
      </c>
      <c r="AH97" s="2" t="n">
        <v>0.0000433256448307062</v>
      </c>
      <c r="AI97" s="2" t="n">
        <v>0.000890836065641889</v>
      </c>
      <c r="AJ97" s="2" t="n">
        <v>3482.62564710101</v>
      </c>
      <c r="AK97" s="2" t="n">
        <v>63631.4651118842</v>
      </c>
      <c r="AL97" s="2" t="n">
        <v>86092.4115229204</v>
      </c>
      <c r="AM97" s="2" t="n">
        <v>17715.4103280812</v>
      </c>
      <c r="AN97" s="2" t="n">
        <v>0.00000136409140715624</v>
      </c>
      <c r="AO97" s="2" t="n">
        <v>403670.139448164</v>
      </c>
      <c r="AP97" s="2" t="n">
        <v>349995.467952129</v>
      </c>
      <c r="AQ97" s="2" t="n">
        <v>522273.775792498</v>
      </c>
      <c r="AR97" s="2" t="n">
        <v>275752.33894763</v>
      </c>
      <c r="AS97" s="2" t="n">
        <v>457690.69324114</v>
      </c>
    </row>
    <row r="98">
      <c r="A98" s="2" t="s">
        <v>765</v>
      </c>
      <c r="B98" s="2" t="n">
        <v>376.17185929886</v>
      </c>
      <c r="C98" s="2" t="n">
        <v>1.69963333333333</v>
      </c>
      <c r="D98" s="2" t="s">
        <v>59</v>
      </c>
      <c r="E98" s="2" t="s">
        <v>766</v>
      </c>
      <c r="F98" s="2" t="n">
        <v>265596</v>
      </c>
      <c r="G98" s="5" t="str">
        <f>HYPERLINK("http://funmeta.oebiotech.com/network/265596", "http://funmeta.oebiotech.com/network/265596")</f>
      </c>
      <c r="H98" s="2"/>
      <c r="I98" s="2" t="n">
        <v>23098</v>
      </c>
      <c r="J98" s="2"/>
      <c r="K98" s="2"/>
      <c r="L98" s="2"/>
      <c r="M98" s="2"/>
      <c r="N98" s="2"/>
      <c r="O98" s="2" t="n">
        <v>145456409</v>
      </c>
      <c r="P98" s="2"/>
      <c r="Q98" s="2" t="s">
        <v>767</v>
      </c>
      <c r="R98" s="2" t="s">
        <v>768</v>
      </c>
      <c r="S98" s="2" t="s">
        <v>110</v>
      </c>
      <c r="T98" s="2" t="s">
        <v>580</v>
      </c>
      <c r="U98" s="2" t="s">
        <v>581</v>
      </c>
      <c r="V98" s="2" t="s">
        <v>92</v>
      </c>
      <c r="W98" s="2" t="n">
        <v>53.1</v>
      </c>
      <c r="X98" s="2" t="n">
        <v>62.1</v>
      </c>
      <c r="Y98" s="2" t="s">
        <v>248</v>
      </c>
      <c r="Z98" s="2" t="s">
        <v>769</v>
      </c>
      <c r="AA98" s="2" t="n">
        <v>1.11443007968427</v>
      </c>
      <c r="AB98" s="2" t="n">
        <v>1.90976692321526</v>
      </c>
      <c r="AC98" s="2" t="n">
        <v>201973.479852158</v>
      </c>
      <c r="AD98" s="2" t="n">
        <v>597726.479524042</v>
      </c>
      <c r="AE98" s="3" t="n">
        <v>0.337902848160559</v>
      </c>
      <c r="AF98" s="3" t="n">
        <v>-1.56531958395417</v>
      </c>
      <c r="AG98" s="3" t="s">
        <v>57</v>
      </c>
      <c r="AH98" s="2" t="n">
        <v>0.0000919739372351864</v>
      </c>
      <c r="AI98" s="2" t="n">
        <v>0.00135760018185943</v>
      </c>
      <c r="AJ98" s="2" t="n">
        <v>169430.732709981</v>
      </c>
      <c r="AK98" s="2" t="n">
        <v>268035.866678997</v>
      </c>
      <c r="AL98" s="2" t="n">
        <v>311216.511863602</v>
      </c>
      <c r="AM98" s="2" t="n">
        <v>224640.481875968</v>
      </c>
      <c r="AN98" s="2" t="n">
        <v>36543.8061322426</v>
      </c>
      <c r="AO98" s="2" t="n">
        <v>573981.939186548</v>
      </c>
      <c r="AP98" s="2" t="n">
        <v>641471.646935486</v>
      </c>
      <c r="AQ98" s="2" t="n">
        <v>629384.75586948</v>
      </c>
      <c r="AR98" s="2" t="n">
        <v>500190.189440938</v>
      </c>
      <c r="AS98" s="2" t="n">
        <v>643603.86618776</v>
      </c>
    </row>
    <row r="99">
      <c r="A99" s="2" t="s">
        <v>770</v>
      </c>
      <c r="B99" s="2" t="n">
        <v>695.498891191903</v>
      </c>
      <c r="C99" s="2" t="n">
        <v>13.9426833333333</v>
      </c>
      <c r="D99" s="2" t="s">
        <v>59</v>
      </c>
      <c r="E99" s="2" t="s">
        <v>771</v>
      </c>
      <c r="F99" s="2" t="n">
        <v>25908</v>
      </c>
      <c r="G99" s="5" t="str">
        <f>HYPERLINK("http://funmeta.oebiotech.com/network/25908", "http://funmeta.oebiotech.com/network/25908")</f>
      </c>
      <c r="H99" s="2"/>
      <c r="I99" s="2" t="n">
        <v>82173</v>
      </c>
      <c r="J99" s="2" t="s">
        <v>772</v>
      </c>
      <c r="K99" s="2"/>
      <c r="L99" s="2"/>
      <c r="M99" s="2"/>
      <c r="N99" s="2"/>
      <c r="O99" s="2" t="n">
        <v>52929590</v>
      </c>
      <c r="P99" s="2"/>
      <c r="Q99" s="2" t="s">
        <v>773</v>
      </c>
      <c r="R99" s="2" t="s">
        <v>774</v>
      </c>
      <c r="S99" s="2" t="s">
        <v>66</v>
      </c>
      <c r="T99" s="2" t="s">
        <v>129</v>
      </c>
      <c r="U99" s="2" t="s">
        <v>775</v>
      </c>
      <c r="V99" s="2" t="s">
        <v>54</v>
      </c>
      <c r="W99" s="2" t="n">
        <v>36.1</v>
      </c>
      <c r="X99" s="2" t="n">
        <v>0</v>
      </c>
      <c r="Y99" s="2" t="s">
        <v>363</v>
      </c>
      <c r="Z99" s="2" t="s">
        <v>776</v>
      </c>
      <c r="AA99" s="2" t="n">
        <v>0.415167247457238</v>
      </c>
      <c r="AB99" s="2" t="n">
        <v>1.89548701433341</v>
      </c>
      <c r="AC99" s="2" t="n">
        <v>676152.395592642</v>
      </c>
      <c r="AD99" s="2" t="n">
        <v>124221.751185226</v>
      </c>
      <c r="AE99" s="4" t="n">
        <v>5.4431079029343</v>
      </c>
      <c r="AF99" s="4" t="n">
        <v>2.44443063600517</v>
      </c>
      <c r="AG99" s="4" t="s">
        <v>72</v>
      </c>
      <c r="AH99" s="2" t="n">
        <v>0.0418609010248182</v>
      </c>
      <c r="AI99" s="2" t="n">
        <v>0.0940205319388071</v>
      </c>
      <c r="AJ99" s="2" t="n">
        <v>1006288.59690129</v>
      </c>
      <c r="AK99" s="2" t="n">
        <v>222159.881634029</v>
      </c>
      <c r="AL99" s="2" t="n">
        <v>205297.584227018</v>
      </c>
      <c r="AM99" s="2" t="n">
        <v>569829.466131715</v>
      </c>
      <c r="AN99" s="2" t="n">
        <v>1377186.44906916</v>
      </c>
      <c r="AO99" s="2" t="n">
        <v>114120.426573598</v>
      </c>
      <c r="AP99" s="2" t="n">
        <v>129055.632086572</v>
      </c>
      <c r="AQ99" s="2" t="n">
        <v>114452.08603511</v>
      </c>
      <c r="AR99" s="2" t="n">
        <v>114785.094430407</v>
      </c>
      <c r="AS99" s="2" t="n">
        <v>148695.516800444</v>
      </c>
    </row>
    <row r="100">
      <c r="A100" s="2" t="s">
        <v>777</v>
      </c>
      <c r="B100" s="2" t="n">
        <v>402.120103753273</v>
      </c>
      <c r="C100" s="2" t="n">
        <v>5.6293</v>
      </c>
      <c r="D100" s="2" t="s">
        <v>46</v>
      </c>
      <c r="E100" s="2" t="s">
        <v>778</v>
      </c>
      <c r="F100" s="2" t="n">
        <v>201455</v>
      </c>
      <c r="G100" s="5" t="str">
        <f>HYPERLINK("http://funmeta.oebiotech.com/network/201455", "http://funmeta.oebiotech.com/network/201455")</f>
      </c>
      <c r="H100" s="2" t="s">
        <v>779</v>
      </c>
      <c r="I100" s="2"/>
      <c r="J100" s="2"/>
      <c r="K100" s="2"/>
      <c r="L100" s="2"/>
      <c r="M100" s="2"/>
      <c r="N100" s="2"/>
      <c r="O100" s="2" t="n">
        <v>13672004</v>
      </c>
      <c r="P100" s="2"/>
      <c r="Q100" s="2" t="s">
        <v>780</v>
      </c>
      <c r="R100" s="2" t="s">
        <v>781</v>
      </c>
      <c r="S100" s="2" t="s">
        <v>360</v>
      </c>
      <c r="T100" s="2" t="s">
        <v>782</v>
      </c>
      <c r="U100" s="2" t="s">
        <v>77</v>
      </c>
      <c r="V100" s="2" t="s">
        <v>54</v>
      </c>
      <c r="W100" s="2" t="n">
        <v>38.8</v>
      </c>
      <c r="X100" s="2" t="n">
        <v>1.31</v>
      </c>
      <c r="Y100" s="2" t="s">
        <v>166</v>
      </c>
      <c r="Z100" s="2" t="s">
        <v>783</v>
      </c>
      <c r="AA100" s="2" t="n">
        <v>4.20585657786294</v>
      </c>
      <c r="AB100" s="2" t="n">
        <v>1.89266056669696</v>
      </c>
      <c r="AC100" s="2" t="n">
        <v>29780.1476836569</v>
      </c>
      <c r="AD100" s="2" t="n">
        <v>447488.421242641</v>
      </c>
      <c r="AE100" s="3" t="n">
        <v>0.0665495379767811</v>
      </c>
      <c r="AF100" s="3" t="n">
        <v>-3.90942753957926</v>
      </c>
      <c r="AG100" s="3" t="s">
        <v>57</v>
      </c>
      <c r="AH100" s="2" t="n">
        <v>0.00175592131441297</v>
      </c>
      <c r="AI100" s="2" t="n">
        <v>0.0100387306365463</v>
      </c>
      <c r="AJ100" s="2" t="n">
        <v>22285.0627603391</v>
      </c>
      <c r="AK100" s="2" t="n">
        <v>24783.3650445433</v>
      </c>
      <c r="AL100" s="2" t="n">
        <v>62837.1275376399</v>
      </c>
      <c r="AM100" s="2" t="n">
        <v>37808.3684811202</v>
      </c>
      <c r="AN100" s="2" t="n">
        <v>1186.81459464225</v>
      </c>
      <c r="AO100" s="2" t="n">
        <v>247842.323813795</v>
      </c>
      <c r="AP100" s="2" t="n">
        <v>354047.145326483</v>
      </c>
      <c r="AQ100" s="2" t="n">
        <v>781532.468033455</v>
      </c>
      <c r="AR100" s="2" t="n">
        <v>396515.514349745</v>
      </c>
      <c r="AS100" s="2" t="n">
        <v>457504.654689725</v>
      </c>
    </row>
    <row r="101">
      <c r="A101" s="2" t="s">
        <v>784</v>
      </c>
      <c r="B101" s="2" t="n">
        <v>776.454175695498</v>
      </c>
      <c r="C101" s="2" t="n">
        <v>12.97425</v>
      </c>
      <c r="D101" s="2" t="s">
        <v>46</v>
      </c>
      <c r="E101" s="2" t="s">
        <v>785</v>
      </c>
      <c r="F101" s="2" t="n">
        <v>21399</v>
      </c>
      <c r="G101" s="5" t="str">
        <f>HYPERLINK("http://funmeta.oebiotech.com/network/21399", "http://funmeta.oebiotech.com/network/21399")</f>
      </c>
      <c r="H101" s="2" t="s">
        <v>786</v>
      </c>
      <c r="I101" s="2" t="n">
        <v>77802</v>
      </c>
      <c r="J101" s="2" t="s">
        <v>787</v>
      </c>
      <c r="K101" s="2"/>
      <c r="L101" s="2"/>
      <c r="M101" s="2"/>
      <c r="N101" s="2"/>
      <c r="O101" s="2" t="n">
        <v>52925248</v>
      </c>
      <c r="P101" s="2"/>
      <c r="Q101" s="2" t="s">
        <v>788</v>
      </c>
      <c r="R101" s="2" t="s">
        <v>789</v>
      </c>
      <c r="S101" s="2" t="s">
        <v>66</v>
      </c>
      <c r="T101" s="2" t="s">
        <v>129</v>
      </c>
      <c r="U101" s="2" t="s">
        <v>790</v>
      </c>
      <c r="V101" s="2" t="s">
        <v>54</v>
      </c>
      <c r="W101" s="2" t="n">
        <v>37.7</v>
      </c>
      <c r="X101" s="2" t="n">
        <v>0</v>
      </c>
      <c r="Y101" s="2" t="s">
        <v>290</v>
      </c>
      <c r="Z101" s="2" t="s">
        <v>791</v>
      </c>
      <c r="AA101" s="2" t="n">
        <v>4.33221598420989</v>
      </c>
      <c r="AB101" s="2" t="n">
        <v>1.88220898745165</v>
      </c>
      <c r="AC101" s="2" t="n">
        <v>698002.64365503</v>
      </c>
      <c r="AD101" s="2" t="n">
        <v>269199.575353311</v>
      </c>
      <c r="AE101" s="4" t="n">
        <v>2.59288166684118</v>
      </c>
      <c r="AF101" s="4" t="n">
        <v>1.37455636640835</v>
      </c>
      <c r="AG101" s="4" t="s">
        <v>72</v>
      </c>
      <c r="AH101" s="2" t="n">
        <v>0.00788568254757119</v>
      </c>
      <c r="AI101" s="2" t="n">
        <v>0.0306636361836544</v>
      </c>
      <c r="AJ101" s="2" t="n">
        <v>956935.068188118</v>
      </c>
      <c r="AK101" s="2" t="n">
        <v>396995.600184882</v>
      </c>
      <c r="AL101" s="2" t="n">
        <v>421923.585310427</v>
      </c>
      <c r="AM101" s="2" t="n">
        <v>828999.595124517</v>
      </c>
      <c r="AN101" s="2" t="n">
        <v>885159.369467207</v>
      </c>
      <c r="AO101" s="2" t="n">
        <v>237959.201580824</v>
      </c>
      <c r="AP101" s="2" t="n">
        <v>259508.220710186</v>
      </c>
      <c r="AQ101" s="2" t="n">
        <v>213060.925479916</v>
      </c>
      <c r="AR101" s="2" t="n">
        <v>283167.109368017</v>
      </c>
      <c r="AS101" s="2" t="n">
        <v>352302.419627613</v>
      </c>
    </row>
    <row r="102">
      <c r="A102" s="2" t="s">
        <v>792</v>
      </c>
      <c r="B102" s="2" t="n">
        <v>187.107729919808</v>
      </c>
      <c r="C102" s="2" t="n">
        <v>2.80115</v>
      </c>
      <c r="D102" s="2" t="s">
        <v>46</v>
      </c>
      <c r="E102" s="2" t="s">
        <v>793</v>
      </c>
      <c r="F102" s="2" t="n">
        <v>273773</v>
      </c>
      <c r="G102" s="5" t="str">
        <f>HYPERLINK("http://funmeta.oebiotech.com/network/273773", "http://funmeta.oebiotech.com/network/273773")</f>
      </c>
      <c r="H102" s="2" t="s">
        <v>794</v>
      </c>
      <c r="I102" s="2" t="n">
        <v>63102</v>
      </c>
      <c r="J102" s="2"/>
      <c r="K102" s="2"/>
      <c r="L102" s="2" t="s">
        <v>795</v>
      </c>
      <c r="M102" s="2"/>
      <c r="N102" s="2"/>
      <c r="O102" s="2" t="n">
        <v>192590</v>
      </c>
      <c r="P102" s="2" t="s">
        <v>796</v>
      </c>
      <c r="Q102" s="2" t="s">
        <v>797</v>
      </c>
      <c r="R102" s="2" t="s">
        <v>798</v>
      </c>
      <c r="S102" s="2" t="s">
        <v>110</v>
      </c>
      <c r="T102" s="2" t="s">
        <v>111</v>
      </c>
      <c r="U102" s="2" t="s">
        <v>112</v>
      </c>
      <c r="V102" s="2" t="s">
        <v>54</v>
      </c>
      <c r="W102" s="2" t="n">
        <v>43.8</v>
      </c>
      <c r="X102" s="2" t="n">
        <v>34.6</v>
      </c>
      <c r="Y102" s="2" t="s">
        <v>290</v>
      </c>
      <c r="Z102" s="2" t="s">
        <v>513</v>
      </c>
      <c r="AA102" s="2" t="n">
        <v>-5.7731881307137</v>
      </c>
      <c r="AB102" s="2" t="n">
        <v>1.87505915181773</v>
      </c>
      <c r="AC102" s="2" t="n">
        <v>444002.35715959</v>
      </c>
      <c r="AD102" s="2" t="n">
        <v>877884.321129664</v>
      </c>
      <c r="AE102" s="3" t="n">
        <v>0.505764081295183</v>
      </c>
      <c r="AF102" s="3" t="n">
        <v>-0.983463512566631</v>
      </c>
      <c r="AG102" s="3" t="s">
        <v>57</v>
      </c>
      <c r="AH102" s="2" t="n">
        <v>0.00246728497794626</v>
      </c>
      <c r="AI102" s="2" t="n">
        <v>0.0128976716955978</v>
      </c>
      <c r="AJ102" s="2" t="n">
        <v>465625.398589332</v>
      </c>
      <c r="AK102" s="2" t="n">
        <v>551291.891894697</v>
      </c>
      <c r="AL102" s="2" t="n">
        <v>663856.86355358</v>
      </c>
      <c r="AM102" s="2" t="n">
        <v>424934.892855004</v>
      </c>
      <c r="AN102" s="2" t="n">
        <v>114302.738905335</v>
      </c>
      <c r="AO102" s="2" t="n">
        <v>858933.994296429</v>
      </c>
      <c r="AP102" s="2" t="n">
        <v>808020.228016013</v>
      </c>
      <c r="AQ102" s="2" t="n">
        <v>967256.983330897</v>
      </c>
      <c r="AR102" s="2" t="n">
        <v>785473.62849234</v>
      </c>
      <c r="AS102" s="2" t="n">
        <v>969736.771512641</v>
      </c>
    </row>
    <row r="103">
      <c r="A103" s="2" t="s">
        <v>799</v>
      </c>
      <c r="B103" s="2" t="n">
        <v>360.146447413873</v>
      </c>
      <c r="C103" s="2" t="n">
        <v>7.5865</v>
      </c>
      <c r="D103" s="2" t="s">
        <v>46</v>
      </c>
      <c r="E103" s="2" t="s">
        <v>800</v>
      </c>
      <c r="F103" s="2" t="n">
        <v>58095</v>
      </c>
      <c r="G103" s="5" t="str">
        <f>HYPERLINK("http://funmeta.oebiotech.com/network/58095", "http://funmeta.oebiotech.com/network/58095")</f>
      </c>
      <c r="H103" s="2" t="s">
        <v>801</v>
      </c>
      <c r="I103" s="2"/>
      <c r="J103" s="2"/>
      <c r="K103" s="2"/>
      <c r="L103" s="2"/>
      <c r="M103" s="2"/>
      <c r="N103" s="2"/>
      <c r="O103" s="2" t="n">
        <v>19073920</v>
      </c>
      <c r="P103" s="2" t="s">
        <v>802</v>
      </c>
      <c r="Q103" s="2" t="s">
        <v>803</v>
      </c>
      <c r="R103" s="2" t="s">
        <v>804</v>
      </c>
      <c r="S103" s="2" t="s">
        <v>428</v>
      </c>
      <c r="T103" s="2" t="s">
        <v>805</v>
      </c>
      <c r="U103" s="2" t="s">
        <v>77</v>
      </c>
      <c r="V103" s="2" t="s">
        <v>54</v>
      </c>
      <c r="W103" s="2" t="n">
        <v>39.7</v>
      </c>
      <c r="X103" s="2" t="n">
        <v>8.15</v>
      </c>
      <c r="Y103" s="2" t="s">
        <v>131</v>
      </c>
      <c r="Z103" s="2" t="s">
        <v>806</v>
      </c>
      <c r="AA103" s="2" t="n">
        <v>3.76455160372082</v>
      </c>
      <c r="AB103" s="2" t="n">
        <v>1.86005357566849</v>
      </c>
      <c r="AC103" s="2" t="n">
        <v>31572.534445467</v>
      </c>
      <c r="AD103" s="2" t="n">
        <v>436914.923681843</v>
      </c>
      <c r="AE103" s="3" t="n">
        <v>0.072262430816984</v>
      </c>
      <c r="AF103" s="3" t="n">
        <v>-3.79061040374747</v>
      </c>
      <c r="AG103" s="3" t="s">
        <v>57</v>
      </c>
      <c r="AH103" s="2" t="n">
        <v>0.00868116971526262</v>
      </c>
      <c r="AI103" s="2" t="n">
        <v>0.0327148903739157</v>
      </c>
      <c r="AJ103" s="2" t="n">
        <v>78401.2761939614</v>
      </c>
      <c r="AK103" s="2" t="n">
        <v>37624.6006765859</v>
      </c>
      <c r="AL103" s="2" t="n">
        <v>10427.1400528322</v>
      </c>
      <c r="AM103" s="2" t="n">
        <v>30081.2063560258</v>
      </c>
      <c r="AN103" s="2" t="n">
        <v>1328.44894792964</v>
      </c>
      <c r="AO103" s="2" t="n">
        <v>812525.424216477</v>
      </c>
      <c r="AP103" s="2" t="n">
        <v>396593.065678845</v>
      </c>
      <c r="AQ103" s="2" t="n">
        <v>285300.402536417</v>
      </c>
      <c r="AR103" s="2" t="n">
        <v>133237.911086568</v>
      </c>
      <c r="AS103" s="2" t="n">
        <v>556917.814890906</v>
      </c>
    </row>
    <row r="104">
      <c r="A104" s="2" t="s">
        <v>807</v>
      </c>
      <c r="B104" s="2" t="n">
        <v>1077.49847727436</v>
      </c>
      <c r="C104" s="2" t="n">
        <v>6.1849</v>
      </c>
      <c r="D104" s="2" t="s">
        <v>46</v>
      </c>
      <c r="E104" s="2" t="s">
        <v>808</v>
      </c>
      <c r="F104" s="2" t="n">
        <v>208494</v>
      </c>
      <c r="G104" s="5" t="str">
        <f>HYPERLINK("http://funmeta.oebiotech.com/network/208494", "http://funmeta.oebiotech.com/network/208494")</f>
      </c>
      <c r="H104" s="2" t="s">
        <v>809</v>
      </c>
      <c r="I104" s="2"/>
      <c r="J104" s="2"/>
      <c r="K104" s="2"/>
      <c r="L104" s="2"/>
      <c r="M104" s="2"/>
      <c r="N104" s="2"/>
      <c r="O104" s="2" t="n">
        <v>13920800</v>
      </c>
      <c r="P104" s="2"/>
      <c r="Q104" s="2" t="s">
        <v>810</v>
      </c>
      <c r="R104" s="2" t="s">
        <v>811</v>
      </c>
      <c r="S104" s="2" t="s">
        <v>110</v>
      </c>
      <c r="T104" s="2" t="s">
        <v>111</v>
      </c>
      <c r="U104" s="2" t="s">
        <v>112</v>
      </c>
      <c r="V104" s="2" t="s">
        <v>69</v>
      </c>
      <c r="W104" s="2" t="n">
        <v>43.3</v>
      </c>
      <c r="X104" s="2" t="n">
        <v>49.7</v>
      </c>
      <c r="Y104" s="2" t="s">
        <v>290</v>
      </c>
      <c r="Z104" s="2" t="s">
        <v>812</v>
      </c>
      <c r="AA104" s="2" t="n">
        <v>-3.22196595432584</v>
      </c>
      <c r="AB104" s="2" t="n">
        <v>1.857808332446</v>
      </c>
      <c r="AC104" s="2" t="n">
        <v>184.761379834967</v>
      </c>
      <c r="AD104" s="2" t="n">
        <v>369265.182123076</v>
      </c>
      <c r="AE104" s="3" t="n">
        <v>0.000500348770422081</v>
      </c>
      <c r="AF104" s="3" t="n">
        <v>-10.9647782967634</v>
      </c>
      <c r="AG104" s="3" t="s">
        <v>57</v>
      </c>
      <c r="AH104" s="2" t="n">
        <v>0.000000685200754606687</v>
      </c>
      <c r="AI104" s="2" t="n">
        <v>0.000291400515714136</v>
      </c>
      <c r="AJ104" s="2" t="n">
        <v>0.00000136409140715624</v>
      </c>
      <c r="AK104" s="2" t="n">
        <v>0.00000136409140715624</v>
      </c>
      <c r="AL104" s="2" t="n">
        <v>923.80689371847</v>
      </c>
      <c r="AM104" s="2" t="n">
        <v>0.00000136409140715624</v>
      </c>
      <c r="AN104" s="2" t="n">
        <v>0.00000136409140715624</v>
      </c>
      <c r="AO104" s="2" t="n">
        <v>377014.733849208</v>
      </c>
      <c r="AP104" s="2" t="n">
        <v>308504.802438086</v>
      </c>
      <c r="AQ104" s="2" t="n">
        <v>310304.672680998</v>
      </c>
      <c r="AR104" s="2" t="n">
        <v>441895.437634792</v>
      </c>
      <c r="AS104" s="2" t="n">
        <v>408606.264012297</v>
      </c>
    </row>
    <row r="105">
      <c r="A105" s="2" t="s">
        <v>813</v>
      </c>
      <c r="B105" s="2" t="n">
        <v>304.165758853452</v>
      </c>
      <c r="C105" s="2" t="n">
        <v>4.2789</v>
      </c>
      <c r="D105" s="2" t="s">
        <v>59</v>
      </c>
      <c r="E105" s="2" t="s">
        <v>814</v>
      </c>
      <c r="F105" s="2" t="n">
        <v>54149</v>
      </c>
      <c r="G105" s="5" t="str">
        <f>HYPERLINK("http://funmeta.oebiotech.com/network/54149", "http://funmeta.oebiotech.com/network/54149")</f>
      </c>
      <c r="H105" s="2" t="s">
        <v>815</v>
      </c>
      <c r="I105" s="2" t="n">
        <v>23665</v>
      </c>
      <c r="J105" s="2"/>
      <c r="K105" s="2"/>
      <c r="L105" s="2"/>
      <c r="M105" s="2"/>
      <c r="N105" s="2"/>
      <c r="O105" s="2" t="n">
        <v>168182</v>
      </c>
      <c r="P105" s="2" t="s">
        <v>816</v>
      </c>
      <c r="Q105" s="2" t="s">
        <v>817</v>
      </c>
      <c r="R105" s="2" t="s">
        <v>818</v>
      </c>
      <c r="S105" s="2" t="s">
        <v>110</v>
      </c>
      <c r="T105" s="2" t="s">
        <v>111</v>
      </c>
      <c r="U105" s="2" t="s">
        <v>112</v>
      </c>
      <c r="V105" s="2" t="s">
        <v>92</v>
      </c>
      <c r="W105" s="2" t="n">
        <v>56.2</v>
      </c>
      <c r="X105" s="2" t="n">
        <v>69.8</v>
      </c>
      <c r="Y105" s="2" t="s">
        <v>332</v>
      </c>
      <c r="Z105" s="2" t="s">
        <v>819</v>
      </c>
      <c r="AA105" s="2" t="n">
        <v>0.629621249158728</v>
      </c>
      <c r="AB105" s="2" t="n">
        <v>1.85723043679389</v>
      </c>
      <c r="AC105" s="2" t="n">
        <v>176184.677885995</v>
      </c>
      <c r="AD105" s="2" t="n">
        <v>547681.564994201</v>
      </c>
      <c r="AE105" s="3" t="n">
        <v>0.321691817192826</v>
      </c>
      <c r="AF105" s="3" t="n">
        <v>-1.63624885596066</v>
      </c>
      <c r="AG105" s="3" t="s">
        <v>57</v>
      </c>
      <c r="AH105" s="2" t="n">
        <v>0.000977320259721636</v>
      </c>
      <c r="AI105" s="2" t="n">
        <v>0.00658689435824983</v>
      </c>
      <c r="AJ105" s="2" t="n">
        <v>60231.8510517958</v>
      </c>
      <c r="AK105" s="2" t="n">
        <v>293139.493856845</v>
      </c>
      <c r="AL105" s="2" t="n">
        <v>318717.532241901</v>
      </c>
      <c r="AM105" s="2" t="n">
        <v>206107.54325152</v>
      </c>
      <c r="AN105" s="2" t="n">
        <v>2726.96902791458</v>
      </c>
      <c r="AO105" s="2" t="n">
        <v>640155.722023898</v>
      </c>
      <c r="AP105" s="2" t="n">
        <v>535029.996428288</v>
      </c>
      <c r="AQ105" s="2" t="n">
        <v>517104.278279053</v>
      </c>
      <c r="AR105" s="2" t="n">
        <v>426794.867002447</v>
      </c>
      <c r="AS105" s="2" t="n">
        <v>619322.961237318</v>
      </c>
    </row>
    <row r="106">
      <c r="A106" s="2" t="s">
        <v>820</v>
      </c>
      <c r="B106" s="2" t="n">
        <v>152.056866289801</v>
      </c>
      <c r="C106" s="2" t="n">
        <v>1.40756666666667</v>
      </c>
      <c r="D106" s="2" t="s">
        <v>59</v>
      </c>
      <c r="E106" s="2" t="s">
        <v>821</v>
      </c>
      <c r="F106" s="2" t="n">
        <v>46889</v>
      </c>
      <c r="G106" s="5" t="str">
        <f>HYPERLINK("http://funmeta.oebiotech.com/network/46889", "http://funmeta.oebiotech.com/network/46889")</f>
      </c>
      <c r="H106" s="2" t="s">
        <v>822</v>
      </c>
      <c r="I106" s="2" t="n">
        <v>315</v>
      </c>
      <c r="J106" s="2"/>
      <c r="K106" s="2" t="n">
        <v>16235</v>
      </c>
      <c r="L106" s="2" t="s">
        <v>823</v>
      </c>
      <c r="M106" s="2" t="s">
        <v>824</v>
      </c>
      <c r="N106" s="2" t="s">
        <v>825</v>
      </c>
      <c r="O106" s="2" t="n">
        <v>764</v>
      </c>
      <c r="P106" s="2" t="s">
        <v>826</v>
      </c>
      <c r="Q106" s="2" t="s">
        <v>827</v>
      </c>
      <c r="R106" s="2" t="s">
        <v>828</v>
      </c>
      <c r="S106" s="2" t="s">
        <v>51</v>
      </c>
      <c r="T106" s="2" t="s">
        <v>829</v>
      </c>
      <c r="U106" s="2" t="s">
        <v>830</v>
      </c>
      <c r="V106" s="2" t="s">
        <v>69</v>
      </c>
      <c r="W106" s="2" t="n">
        <v>54.4</v>
      </c>
      <c r="X106" s="2" t="n">
        <v>79.2</v>
      </c>
      <c r="Y106" s="2" t="s">
        <v>248</v>
      </c>
      <c r="Z106" s="2" t="s">
        <v>831</v>
      </c>
      <c r="AA106" s="2" t="n">
        <v>1.19201982492062</v>
      </c>
      <c r="AB106" s="2" t="n">
        <v>1.85117932008411</v>
      </c>
      <c r="AC106" s="2" t="n">
        <v>735463.554910752</v>
      </c>
      <c r="AD106" s="2" t="n">
        <v>311044.466301306</v>
      </c>
      <c r="AE106" s="4" t="n">
        <v>2.3644965096351</v>
      </c>
      <c r="AF106" s="4" t="n">
        <v>1.24153301215484</v>
      </c>
      <c r="AG106" s="4" t="s">
        <v>72</v>
      </c>
      <c r="AH106" s="2" t="n">
        <v>0.0398689128614234</v>
      </c>
      <c r="AI106" s="2" t="n">
        <v>0.0913691546143041</v>
      </c>
      <c r="AJ106" s="2" t="n">
        <v>1335528.07175404</v>
      </c>
      <c r="AK106" s="2" t="n">
        <v>564220.997900151</v>
      </c>
      <c r="AL106" s="2" t="n">
        <v>403100.857128804</v>
      </c>
      <c r="AM106" s="2" t="n">
        <v>566775.231532727</v>
      </c>
      <c r="AN106" s="2" t="n">
        <v>807692.616238039</v>
      </c>
      <c r="AO106" s="2" t="n">
        <v>296817.425084668</v>
      </c>
      <c r="AP106" s="2" t="n">
        <v>381381.351126825</v>
      </c>
      <c r="AQ106" s="2" t="n">
        <v>169988.945388546</v>
      </c>
      <c r="AR106" s="2" t="n">
        <v>216657.012799383</v>
      </c>
      <c r="AS106" s="2" t="n">
        <v>490377.597107109</v>
      </c>
    </row>
    <row r="107">
      <c r="A107" s="2" t="s">
        <v>832</v>
      </c>
      <c r="B107" s="2" t="n">
        <v>215.139324346069</v>
      </c>
      <c r="C107" s="2" t="n">
        <v>1.44378333333333</v>
      </c>
      <c r="D107" s="2" t="s">
        <v>59</v>
      </c>
      <c r="E107" s="2" t="s">
        <v>833</v>
      </c>
      <c r="F107" s="2" t="n">
        <v>54041</v>
      </c>
      <c r="G107" s="5" t="str">
        <f>HYPERLINK("http://funmeta.oebiotech.com/network/54041", "http://funmeta.oebiotech.com/network/54041")</f>
      </c>
      <c r="H107" s="2" t="s">
        <v>834</v>
      </c>
      <c r="I107" s="2" t="n">
        <v>23999</v>
      </c>
      <c r="J107" s="2"/>
      <c r="K107" s="2"/>
      <c r="L107" s="2"/>
      <c r="M107" s="2"/>
      <c r="N107" s="2"/>
      <c r="O107" s="2" t="n">
        <v>142984</v>
      </c>
      <c r="P107" s="2"/>
      <c r="Q107" s="2" t="s">
        <v>835</v>
      </c>
      <c r="R107" s="2" t="s">
        <v>836</v>
      </c>
      <c r="S107" s="2" t="s">
        <v>110</v>
      </c>
      <c r="T107" s="2" t="s">
        <v>111</v>
      </c>
      <c r="U107" s="2" t="s">
        <v>112</v>
      </c>
      <c r="V107" s="2" t="s">
        <v>92</v>
      </c>
      <c r="W107" s="2" t="n">
        <v>52.6</v>
      </c>
      <c r="X107" s="2" t="n">
        <v>61.4</v>
      </c>
      <c r="Y107" s="2" t="s">
        <v>248</v>
      </c>
      <c r="Z107" s="2" t="s">
        <v>837</v>
      </c>
      <c r="AA107" s="2" t="n">
        <v>1.4265448234522</v>
      </c>
      <c r="AB107" s="2" t="n">
        <v>1.85031356167421</v>
      </c>
      <c r="AC107" s="2" t="n">
        <v>464759.136717532</v>
      </c>
      <c r="AD107" s="2" t="n">
        <v>1013691.42143012</v>
      </c>
      <c r="AE107" s="3" t="n">
        <v>0.458481868241369</v>
      </c>
      <c r="AF107" s="3" t="n">
        <v>-1.12506341475407</v>
      </c>
      <c r="AG107" s="3" t="s">
        <v>57</v>
      </c>
      <c r="AH107" s="2" t="n">
        <v>0.0397026412651576</v>
      </c>
      <c r="AI107" s="2" t="n">
        <v>0.0911722066648663</v>
      </c>
      <c r="AJ107" s="2" t="n">
        <v>650914.679786099</v>
      </c>
      <c r="AK107" s="2" t="n">
        <v>427068.166984227</v>
      </c>
      <c r="AL107" s="2" t="n">
        <v>483983.405182596</v>
      </c>
      <c r="AM107" s="2" t="n">
        <v>492215.634247394</v>
      </c>
      <c r="AN107" s="2" t="n">
        <v>269613.797387342</v>
      </c>
      <c r="AO107" s="2" t="n">
        <v>934392.086323951</v>
      </c>
      <c r="AP107" s="2" t="n">
        <v>731436.814121217</v>
      </c>
      <c r="AQ107" s="2" t="n">
        <v>683578.26507199</v>
      </c>
      <c r="AR107" s="2" t="n">
        <v>863788.437417736</v>
      </c>
      <c r="AS107" s="2" t="n">
        <v>1855261.50421572</v>
      </c>
    </row>
    <row r="108">
      <c r="A108" s="2" t="s">
        <v>838</v>
      </c>
      <c r="B108" s="2" t="n">
        <v>348.184528361159</v>
      </c>
      <c r="C108" s="2" t="n">
        <v>7.7893</v>
      </c>
      <c r="D108" s="2" t="s">
        <v>46</v>
      </c>
      <c r="E108" s="2" t="s">
        <v>839</v>
      </c>
      <c r="F108" s="2" t="n">
        <v>198536</v>
      </c>
      <c r="G108" s="5" t="str">
        <f>HYPERLINK("http://funmeta.oebiotech.com/network/198536", "http://funmeta.oebiotech.com/network/198536")</f>
      </c>
      <c r="H108" s="2" t="s">
        <v>840</v>
      </c>
      <c r="I108" s="2"/>
      <c r="J108" s="2"/>
      <c r="K108" s="2"/>
      <c r="L108" s="2"/>
      <c r="M108" s="2"/>
      <c r="N108" s="2"/>
      <c r="O108" s="2" t="n">
        <v>9817927</v>
      </c>
      <c r="P108" s="2"/>
      <c r="Q108" s="2" t="s">
        <v>841</v>
      </c>
      <c r="R108" s="2" t="s">
        <v>842</v>
      </c>
      <c r="S108" s="2" t="s">
        <v>77</v>
      </c>
      <c r="T108" s="2" t="s">
        <v>77</v>
      </c>
      <c r="U108" s="2" t="s">
        <v>77</v>
      </c>
      <c r="V108" s="2" t="s">
        <v>69</v>
      </c>
      <c r="W108" s="2" t="n">
        <v>47.9</v>
      </c>
      <c r="X108" s="2" t="n">
        <v>47.2</v>
      </c>
      <c r="Y108" s="2" t="s">
        <v>131</v>
      </c>
      <c r="Z108" s="2" t="s">
        <v>843</v>
      </c>
      <c r="AA108" s="2" t="n">
        <v>-1.61386421664751</v>
      </c>
      <c r="AB108" s="2" t="n">
        <v>1.8495146891485</v>
      </c>
      <c r="AC108" s="2" t="n">
        <v>59406.6811022481</v>
      </c>
      <c r="AD108" s="2" t="n">
        <v>497487.596187906</v>
      </c>
      <c r="AE108" s="3" t="n">
        <v>0.119413391524659</v>
      </c>
      <c r="AF108" s="3" t="n">
        <v>-3.06596345926565</v>
      </c>
      <c r="AG108" s="3" t="s">
        <v>57</v>
      </c>
      <c r="AH108" s="2" t="n">
        <v>0.00351829837323045</v>
      </c>
      <c r="AI108" s="2" t="n">
        <v>0.0170113443166913</v>
      </c>
      <c r="AJ108" s="2" t="n">
        <v>101131.81172328</v>
      </c>
      <c r="AK108" s="2" t="n">
        <v>48429.4915378771</v>
      </c>
      <c r="AL108" s="2" t="n">
        <v>60214.6056924842</v>
      </c>
      <c r="AM108" s="2" t="n">
        <v>87084.9813588554</v>
      </c>
      <c r="AN108" s="2" t="n">
        <v>172.515198743627</v>
      </c>
      <c r="AO108" s="2" t="n">
        <v>241960.056678099</v>
      </c>
      <c r="AP108" s="2" t="n">
        <v>304532.375448792</v>
      </c>
      <c r="AQ108" s="2" t="n">
        <v>836183.753587448</v>
      </c>
      <c r="AR108" s="2" t="n">
        <v>572469.069108497</v>
      </c>
      <c r="AS108" s="2" t="n">
        <v>532292.726116696</v>
      </c>
    </row>
    <row r="109">
      <c r="A109" s="2" t="s">
        <v>844</v>
      </c>
      <c r="B109" s="2" t="n">
        <v>390.187175482649</v>
      </c>
      <c r="C109" s="2" t="n">
        <v>1.99408333333333</v>
      </c>
      <c r="D109" s="2" t="s">
        <v>59</v>
      </c>
      <c r="E109" s="2" t="s">
        <v>845</v>
      </c>
      <c r="F109" s="2" t="n">
        <v>197828</v>
      </c>
      <c r="G109" s="5" t="str">
        <f>HYPERLINK("http://funmeta.oebiotech.com/network/197828", "http://funmeta.oebiotech.com/network/197828")</f>
      </c>
      <c r="H109" s="2" t="s">
        <v>846</v>
      </c>
      <c r="I109" s="2"/>
      <c r="J109" s="2"/>
      <c r="K109" s="2"/>
      <c r="L109" s="2"/>
      <c r="M109" s="2"/>
      <c r="N109" s="2"/>
      <c r="O109" s="2"/>
      <c r="P109" s="2"/>
      <c r="Q109" s="2" t="s">
        <v>847</v>
      </c>
      <c r="R109" s="2" t="s">
        <v>848</v>
      </c>
      <c r="S109" s="2" t="s">
        <v>77</v>
      </c>
      <c r="T109" s="2" t="s">
        <v>77</v>
      </c>
      <c r="U109" s="2" t="s">
        <v>77</v>
      </c>
      <c r="V109" s="2" t="s">
        <v>54</v>
      </c>
      <c r="W109" s="2" t="n">
        <v>41</v>
      </c>
      <c r="X109" s="2" t="n">
        <v>18.3</v>
      </c>
      <c r="Y109" s="2" t="s">
        <v>363</v>
      </c>
      <c r="Z109" s="2" t="s">
        <v>849</v>
      </c>
      <c r="AA109" s="2" t="n">
        <v>-4.17443267903167</v>
      </c>
      <c r="AB109" s="2" t="n">
        <v>1.84914867108406</v>
      </c>
      <c r="AC109" s="2" t="n">
        <v>95817.6944876552</v>
      </c>
      <c r="AD109" s="2" t="n">
        <v>450523.901707365</v>
      </c>
      <c r="AE109" s="3" t="n">
        <v>0.212680601682911</v>
      </c>
      <c r="AF109" s="3" t="n">
        <v>-2.23323964189956</v>
      </c>
      <c r="AG109" s="3" t="s">
        <v>57</v>
      </c>
      <c r="AH109" s="2" t="n">
        <v>0.000050647609690496</v>
      </c>
      <c r="AI109" s="2" t="n">
        <v>0.000962056889614064</v>
      </c>
      <c r="AJ109" s="2" t="n">
        <v>15906.5981818202</v>
      </c>
      <c r="AK109" s="2" t="n">
        <v>213906.784074014</v>
      </c>
      <c r="AL109" s="2" t="n">
        <v>145450.037465744</v>
      </c>
      <c r="AM109" s="2" t="n">
        <v>103418.800912664</v>
      </c>
      <c r="AN109" s="2" t="n">
        <v>406.251804033748</v>
      </c>
      <c r="AO109" s="2" t="n">
        <v>435695.218984935</v>
      </c>
      <c r="AP109" s="2" t="n">
        <v>432648.499206662</v>
      </c>
      <c r="AQ109" s="2" t="n">
        <v>511772.893325665</v>
      </c>
      <c r="AR109" s="2" t="n">
        <v>389769.64367147</v>
      </c>
      <c r="AS109" s="2" t="n">
        <v>482733.253348092</v>
      </c>
    </row>
    <row r="110">
      <c r="A110" s="2" t="s">
        <v>850</v>
      </c>
      <c r="B110" s="2" t="n">
        <v>127.050593911315</v>
      </c>
      <c r="C110" s="2" t="n">
        <v>1.44378333333333</v>
      </c>
      <c r="D110" s="2" t="s">
        <v>59</v>
      </c>
      <c r="E110" s="2" t="s">
        <v>851</v>
      </c>
      <c r="F110" s="2" t="n">
        <v>46963</v>
      </c>
      <c r="G110" s="5" t="str">
        <f>HYPERLINK("http://funmeta.oebiotech.com/network/46963", "http://funmeta.oebiotech.com/network/46963")</f>
      </c>
      <c r="H110" s="2" t="s">
        <v>852</v>
      </c>
      <c r="I110" s="2" t="n">
        <v>290</v>
      </c>
      <c r="J110" s="2"/>
      <c r="K110" s="2" t="n">
        <v>17821</v>
      </c>
      <c r="L110" s="2" t="s">
        <v>853</v>
      </c>
      <c r="M110" s="2" t="s">
        <v>722</v>
      </c>
      <c r="N110" s="2" t="s">
        <v>723</v>
      </c>
      <c r="O110" s="2" t="n">
        <v>1135</v>
      </c>
      <c r="P110" s="2" t="s">
        <v>854</v>
      </c>
      <c r="Q110" s="2" t="s">
        <v>855</v>
      </c>
      <c r="R110" s="2" t="s">
        <v>856</v>
      </c>
      <c r="S110" s="2" t="s">
        <v>51</v>
      </c>
      <c r="T110" s="2" t="s">
        <v>641</v>
      </c>
      <c r="U110" s="2" t="s">
        <v>857</v>
      </c>
      <c r="V110" s="2" t="s">
        <v>92</v>
      </c>
      <c r="W110" s="2" t="n">
        <v>52.8</v>
      </c>
      <c r="X110" s="2" t="n">
        <v>55.3</v>
      </c>
      <c r="Y110" s="2" t="s">
        <v>304</v>
      </c>
      <c r="Z110" s="2" t="s">
        <v>858</v>
      </c>
      <c r="AA110" s="2" t="n">
        <v>3.09448680201035</v>
      </c>
      <c r="AB110" s="2" t="n">
        <v>1.84119249067831</v>
      </c>
      <c r="AC110" s="2" t="n">
        <v>509730.571830663</v>
      </c>
      <c r="AD110" s="2" t="n">
        <v>106982.31216256</v>
      </c>
      <c r="AE110" s="4" t="n">
        <v>4.76462474522074</v>
      </c>
      <c r="AF110" s="4" t="n">
        <v>2.25236259408745</v>
      </c>
      <c r="AG110" s="4" t="s">
        <v>72</v>
      </c>
      <c r="AH110" s="2" t="n">
        <v>0.0295025606397645</v>
      </c>
      <c r="AI110" s="2" t="n">
        <v>0.0750368946827343</v>
      </c>
      <c r="AJ110" s="2" t="n">
        <v>1063418.77806769</v>
      </c>
      <c r="AK110" s="2" t="n">
        <v>299821.820122073</v>
      </c>
      <c r="AL110" s="2" t="n">
        <v>240910.191602622</v>
      </c>
      <c r="AM110" s="2" t="n">
        <v>348056.955617134</v>
      </c>
      <c r="AN110" s="2" t="n">
        <v>596445.113743794</v>
      </c>
      <c r="AO110" s="2" t="n">
        <v>94492.4116290775</v>
      </c>
      <c r="AP110" s="2" t="n">
        <v>141204.275824147</v>
      </c>
      <c r="AQ110" s="2" t="n">
        <v>53520.4947287267</v>
      </c>
      <c r="AR110" s="2" t="n">
        <v>86714.3838211289</v>
      </c>
      <c r="AS110" s="2" t="n">
        <v>158979.994809719</v>
      </c>
    </row>
    <row r="111">
      <c r="A111" s="2" t="s">
        <v>859</v>
      </c>
      <c r="B111" s="2" t="n">
        <v>265.15480356693</v>
      </c>
      <c r="C111" s="2" t="n">
        <v>4.09556666666667</v>
      </c>
      <c r="D111" s="2" t="s">
        <v>59</v>
      </c>
      <c r="E111" s="2" t="s">
        <v>860</v>
      </c>
      <c r="F111" s="2" t="n">
        <v>54145</v>
      </c>
      <c r="G111" s="5" t="str">
        <f>HYPERLINK("http://funmeta.oebiotech.com/network/54145", "http://funmeta.oebiotech.com/network/54145")</f>
      </c>
      <c r="H111" s="2" t="s">
        <v>861</v>
      </c>
      <c r="I111" s="2" t="n">
        <v>24009</v>
      </c>
      <c r="J111" s="2"/>
      <c r="K111" s="2" t="n">
        <v>75016</v>
      </c>
      <c r="L111" s="2"/>
      <c r="M111" s="2"/>
      <c r="N111" s="2"/>
      <c r="O111" s="2" t="n">
        <v>6993119</v>
      </c>
      <c r="P111" s="2" t="s">
        <v>862</v>
      </c>
      <c r="Q111" s="2" t="s">
        <v>863</v>
      </c>
      <c r="R111" s="2" t="s">
        <v>864</v>
      </c>
      <c r="S111" s="2" t="s">
        <v>110</v>
      </c>
      <c r="T111" s="2" t="s">
        <v>111</v>
      </c>
      <c r="U111" s="2" t="s">
        <v>112</v>
      </c>
      <c r="V111" s="2" t="s">
        <v>92</v>
      </c>
      <c r="W111" s="2" t="n">
        <v>59.2</v>
      </c>
      <c r="X111" s="2" t="n">
        <v>88.4</v>
      </c>
      <c r="Y111" s="2" t="s">
        <v>332</v>
      </c>
      <c r="Z111" s="2" t="s">
        <v>865</v>
      </c>
      <c r="AA111" s="2" t="n">
        <v>0.509659582824351</v>
      </c>
      <c r="AB111" s="2" t="n">
        <v>1.81845943319183</v>
      </c>
      <c r="AC111" s="2" t="n">
        <v>280651.762605418</v>
      </c>
      <c r="AD111" s="2" t="n">
        <v>719943.990870235</v>
      </c>
      <c r="AE111" s="3" t="n">
        <v>0.389824439351426</v>
      </c>
      <c r="AF111" s="3" t="n">
        <v>-1.35910355425091</v>
      </c>
      <c r="AG111" s="3" t="s">
        <v>57</v>
      </c>
      <c r="AH111" s="2" t="n">
        <v>0.00950533081086053</v>
      </c>
      <c r="AI111" s="2" t="n">
        <v>0.034606142255611</v>
      </c>
      <c r="AJ111" s="2" t="n">
        <v>187780.755929622</v>
      </c>
      <c r="AK111" s="2" t="n">
        <v>545705.654047957</v>
      </c>
      <c r="AL111" s="2" t="n">
        <v>416288.590201794</v>
      </c>
      <c r="AM111" s="2" t="n">
        <v>223176.107905102</v>
      </c>
      <c r="AN111" s="2" t="n">
        <v>30307.7049426127</v>
      </c>
      <c r="AO111" s="2" t="n">
        <v>471222.569704696</v>
      </c>
      <c r="AP111" s="2" t="n">
        <v>695367.389364207</v>
      </c>
      <c r="AQ111" s="2" t="n">
        <v>777536.808933252</v>
      </c>
      <c r="AR111" s="2" t="n">
        <v>623321.023763489</v>
      </c>
      <c r="AS111" s="2" t="n">
        <v>1032272.16258553</v>
      </c>
    </row>
    <row r="112">
      <c r="A112" s="2" t="s">
        <v>866</v>
      </c>
      <c r="B112" s="2" t="n">
        <v>302.20760459576</v>
      </c>
      <c r="C112" s="2" t="n">
        <v>4.44813333333333</v>
      </c>
      <c r="D112" s="2" t="s">
        <v>59</v>
      </c>
      <c r="E112" s="2" t="s">
        <v>867</v>
      </c>
      <c r="F112" s="2" t="n">
        <v>258712</v>
      </c>
      <c r="G112" s="5" t="str">
        <f>HYPERLINK("http://funmeta.oebiotech.com/network/258712", "http://funmeta.oebiotech.com/network/258712")</f>
      </c>
      <c r="H112" s="2"/>
      <c r="I112" s="2" t="n">
        <v>15900</v>
      </c>
      <c r="J112" s="2"/>
      <c r="K112" s="2"/>
      <c r="L112" s="2"/>
      <c r="M112" s="2"/>
      <c r="N112" s="2"/>
      <c r="O112" s="2" t="n">
        <v>145455641</v>
      </c>
      <c r="P112" s="2"/>
      <c r="Q112" s="2" t="s">
        <v>868</v>
      </c>
      <c r="R112" s="2" t="s">
        <v>869</v>
      </c>
      <c r="S112" s="2" t="s">
        <v>110</v>
      </c>
      <c r="T112" s="2" t="s">
        <v>111</v>
      </c>
      <c r="U112" s="2" t="s">
        <v>112</v>
      </c>
      <c r="V112" s="2" t="s">
        <v>122</v>
      </c>
      <c r="W112" s="2" t="n">
        <v>53.9</v>
      </c>
      <c r="X112" s="2" t="n">
        <v>40.2</v>
      </c>
      <c r="Y112" s="2" t="s">
        <v>248</v>
      </c>
      <c r="Z112" s="2" t="s">
        <v>870</v>
      </c>
      <c r="AA112" s="2" t="n">
        <v>0.570402194393227</v>
      </c>
      <c r="AB112" s="2" t="n">
        <v>1.81639585923338</v>
      </c>
      <c r="AC112" s="2" t="n">
        <v>69486.9641210028</v>
      </c>
      <c r="AD112" s="2" t="n">
        <v>405664.969789036</v>
      </c>
      <c r="AE112" s="3" t="n">
        <v>0.171291507268027</v>
      </c>
      <c r="AF112" s="3" t="n">
        <v>-2.54547447134657</v>
      </c>
      <c r="AG112" s="3" t="s">
        <v>57</v>
      </c>
      <c r="AH112" s="2" t="n">
        <v>0.00000881859595092912</v>
      </c>
      <c r="AI112" s="2" t="n">
        <v>0.000461771042216647</v>
      </c>
      <c r="AJ112" s="2" t="n">
        <v>31765.9431716121</v>
      </c>
      <c r="AK112" s="2" t="n">
        <v>132266.31841371</v>
      </c>
      <c r="AL112" s="2" t="n">
        <v>133086.435824811</v>
      </c>
      <c r="AM112" s="2" t="n">
        <v>49170.0427514272</v>
      </c>
      <c r="AN112" s="2" t="n">
        <v>1146.08044345356</v>
      </c>
      <c r="AO112" s="2" t="n">
        <v>442039.846583168</v>
      </c>
      <c r="AP112" s="2" t="n">
        <v>361012.442298996</v>
      </c>
      <c r="AQ112" s="2" t="n">
        <v>458445.247736656</v>
      </c>
      <c r="AR112" s="2" t="n">
        <v>358409.912749452</v>
      </c>
      <c r="AS112" s="2" t="n">
        <v>408417.399576908</v>
      </c>
    </row>
    <row r="113">
      <c r="A113" s="2" t="s">
        <v>871</v>
      </c>
      <c r="B113" s="2" t="n">
        <v>360.213149789466</v>
      </c>
      <c r="C113" s="2" t="n">
        <v>3.08725</v>
      </c>
      <c r="D113" s="2" t="s">
        <v>59</v>
      </c>
      <c r="E113" s="2" t="s">
        <v>872</v>
      </c>
      <c r="F113" s="2" t="n">
        <v>197817</v>
      </c>
      <c r="G113" s="5" t="str">
        <f>HYPERLINK("http://funmeta.oebiotech.com/network/197817", "http://funmeta.oebiotech.com/network/197817")</f>
      </c>
      <c r="H113" s="2" t="s">
        <v>873</v>
      </c>
      <c r="I113" s="2"/>
      <c r="J113" s="2"/>
      <c r="K113" s="2"/>
      <c r="L113" s="2"/>
      <c r="M113" s="2"/>
      <c r="N113" s="2"/>
      <c r="O113" s="2"/>
      <c r="P113" s="2"/>
      <c r="Q113" s="2" t="s">
        <v>874</v>
      </c>
      <c r="R113" s="2" t="s">
        <v>875</v>
      </c>
      <c r="S113" s="2" t="s">
        <v>77</v>
      </c>
      <c r="T113" s="2" t="s">
        <v>77</v>
      </c>
      <c r="U113" s="2" t="s">
        <v>77</v>
      </c>
      <c r="V113" s="2" t="s">
        <v>54</v>
      </c>
      <c r="W113" s="2" t="n">
        <v>38</v>
      </c>
      <c r="X113" s="2" t="n">
        <v>0.801</v>
      </c>
      <c r="Y113" s="2" t="s">
        <v>363</v>
      </c>
      <c r="Z113" s="2" t="s">
        <v>876</v>
      </c>
      <c r="AA113" s="2" t="n">
        <v>-4.09034467242506</v>
      </c>
      <c r="AB113" s="2" t="n">
        <v>1.81391328430683</v>
      </c>
      <c r="AC113" s="2" t="n">
        <v>32427.659127678</v>
      </c>
      <c r="AD113" s="2" t="n">
        <v>368022.114222132</v>
      </c>
      <c r="AE113" s="3" t="n">
        <v>0.0881133439391774</v>
      </c>
      <c r="AF113" s="3" t="n">
        <v>-3.50449567145657</v>
      </c>
      <c r="AG113" s="3" t="s">
        <v>57</v>
      </c>
      <c r="AH113" s="2" t="n">
        <v>0.0000527691069570152</v>
      </c>
      <c r="AI113" s="2" t="n">
        <v>0.000984799257223278</v>
      </c>
      <c r="AJ113" s="2" t="n">
        <v>12400.7697181302</v>
      </c>
      <c r="AK113" s="2" t="n">
        <v>74115.9860804622</v>
      </c>
      <c r="AL113" s="2" t="n">
        <v>56191.1467579773</v>
      </c>
      <c r="AM113" s="2" t="n">
        <v>19430.393080456</v>
      </c>
      <c r="AN113" s="2" t="n">
        <v>0.00000136409140715624</v>
      </c>
      <c r="AO113" s="2" t="n">
        <v>350302.310695261</v>
      </c>
      <c r="AP113" s="2" t="n">
        <v>322800.081851771</v>
      </c>
      <c r="AQ113" s="2" t="n">
        <v>499252.763620006</v>
      </c>
      <c r="AR113" s="2" t="n">
        <v>258829.809687602</v>
      </c>
      <c r="AS113" s="2" t="n">
        <v>408925.60525602</v>
      </c>
    </row>
    <row r="114">
      <c r="A114" s="2" t="s">
        <v>877</v>
      </c>
      <c r="B114" s="2" t="n">
        <v>683.255246460174</v>
      </c>
      <c r="C114" s="2" t="n">
        <v>8.62756666666667</v>
      </c>
      <c r="D114" s="2" t="s">
        <v>46</v>
      </c>
      <c r="E114" s="2" t="s">
        <v>878</v>
      </c>
      <c r="F114" s="2" t="n">
        <v>63806</v>
      </c>
      <c r="G114" s="5" t="str">
        <f>HYPERLINK("http://funmeta.oebiotech.com/network/63806", "http://funmeta.oebiotech.com/network/63806")</f>
      </c>
      <c r="H114" s="2" t="s">
        <v>879</v>
      </c>
      <c r="I114" s="2" t="n">
        <v>95141</v>
      </c>
      <c r="J114" s="2"/>
      <c r="K114" s="2"/>
      <c r="L114" s="2"/>
      <c r="M114" s="2"/>
      <c r="N114" s="2"/>
      <c r="O114" s="2" t="n">
        <v>127870</v>
      </c>
      <c r="P114" s="2" t="s">
        <v>880</v>
      </c>
      <c r="Q114" s="2" t="s">
        <v>881</v>
      </c>
      <c r="R114" s="2" t="s">
        <v>882</v>
      </c>
      <c r="S114" s="2" t="s">
        <v>66</v>
      </c>
      <c r="T114" s="2" t="s">
        <v>211</v>
      </c>
      <c r="U114" s="2" t="s">
        <v>883</v>
      </c>
      <c r="V114" s="2" t="s">
        <v>54</v>
      </c>
      <c r="W114" s="2" t="n">
        <v>38.7</v>
      </c>
      <c r="X114" s="2" t="n">
        <v>6.93</v>
      </c>
      <c r="Y114" s="2" t="s">
        <v>85</v>
      </c>
      <c r="Z114" s="2" t="s">
        <v>884</v>
      </c>
      <c r="AA114" s="2" t="n">
        <v>-0.602738866353749</v>
      </c>
      <c r="AB114" s="2" t="n">
        <v>1.81159688957437</v>
      </c>
      <c r="AC114" s="2" t="n">
        <v>580257.365413179</v>
      </c>
      <c r="AD114" s="2" t="n">
        <v>185179.072253318</v>
      </c>
      <c r="AE114" s="4" t="n">
        <v>3.13349320931584</v>
      </c>
      <c r="AF114" s="4" t="n">
        <v>1.64777186662323</v>
      </c>
      <c r="AG114" s="4" t="s">
        <v>72</v>
      </c>
      <c r="AH114" s="2" t="n">
        <v>0.00408685379144362</v>
      </c>
      <c r="AI114" s="2" t="n">
        <v>0.0190222106575533</v>
      </c>
      <c r="AJ114" s="2" t="n">
        <v>733118.509273334</v>
      </c>
      <c r="AK114" s="2" t="n">
        <v>388240.477429675</v>
      </c>
      <c r="AL114" s="2" t="n">
        <v>302066.41584592</v>
      </c>
      <c r="AM114" s="2" t="n">
        <v>674877.279097911</v>
      </c>
      <c r="AN114" s="2" t="n">
        <v>802984.145419054</v>
      </c>
      <c r="AO114" s="2" t="n">
        <v>174879.198882423</v>
      </c>
      <c r="AP114" s="2" t="n">
        <v>212666.298962062</v>
      </c>
      <c r="AQ114" s="2" t="n">
        <v>171567.210190614</v>
      </c>
      <c r="AR114" s="2" t="n">
        <v>195043.910232249</v>
      </c>
      <c r="AS114" s="2" t="n">
        <v>171738.742999241</v>
      </c>
    </row>
    <row r="115">
      <c r="A115" s="2" t="s">
        <v>885</v>
      </c>
      <c r="B115" s="2" t="n">
        <v>215.032004607036</v>
      </c>
      <c r="C115" s="2" t="n">
        <v>0.704366666666667</v>
      </c>
      <c r="D115" s="2" t="s">
        <v>46</v>
      </c>
      <c r="E115" s="2" t="s">
        <v>886</v>
      </c>
      <c r="F115" s="2" t="n">
        <v>256887</v>
      </c>
      <c r="G115" s="5" t="str">
        <f>HYPERLINK("http://funmeta.oebiotech.com/network/256887", "http://funmeta.oebiotech.com/network/256887")</f>
      </c>
      <c r="H115" s="2" t="s">
        <v>887</v>
      </c>
      <c r="I115" s="2" t="n">
        <v>64013</v>
      </c>
      <c r="J115" s="2"/>
      <c r="K115" s="2" t="n">
        <v>17764</v>
      </c>
      <c r="L115" s="2" t="s">
        <v>888</v>
      </c>
      <c r="M115" s="2" t="s">
        <v>889</v>
      </c>
      <c r="N115" s="2" t="s">
        <v>890</v>
      </c>
      <c r="O115" s="2" t="n">
        <v>443198</v>
      </c>
      <c r="P115" s="2"/>
      <c r="Q115" s="2" t="s">
        <v>891</v>
      </c>
      <c r="R115" s="2" t="s">
        <v>892</v>
      </c>
      <c r="S115" s="2" t="s">
        <v>110</v>
      </c>
      <c r="T115" s="2" t="s">
        <v>893</v>
      </c>
      <c r="U115" s="2" t="s">
        <v>894</v>
      </c>
      <c r="V115" s="2" t="s">
        <v>54</v>
      </c>
      <c r="W115" s="2" t="n">
        <v>39</v>
      </c>
      <c r="X115" s="2" t="n">
        <v>0.363</v>
      </c>
      <c r="Y115" s="2" t="s">
        <v>290</v>
      </c>
      <c r="Z115" s="2" t="s">
        <v>895</v>
      </c>
      <c r="AA115" s="2" t="n">
        <v>-2.81589106349765</v>
      </c>
      <c r="AB115" s="2" t="n">
        <v>1.80636614679856</v>
      </c>
      <c r="AC115" s="2" t="n">
        <v>753928.433039349</v>
      </c>
      <c r="AD115" s="2" t="n">
        <v>274366.840626906</v>
      </c>
      <c r="AE115" s="4" t="n">
        <v>2.74788466170578</v>
      </c>
      <c r="AF115" s="4" t="n">
        <v>1.45832145048891</v>
      </c>
      <c r="AG115" s="4" t="s">
        <v>72</v>
      </c>
      <c r="AH115" s="2" t="n">
        <v>0.0460234561858761</v>
      </c>
      <c r="AI115" s="2" t="n">
        <v>0.0996296465641794</v>
      </c>
      <c r="AJ115" s="2" t="n">
        <v>1116252.65676111</v>
      </c>
      <c r="AK115" s="2" t="n">
        <v>255265.108022769</v>
      </c>
      <c r="AL115" s="2" t="n">
        <v>410003.535539347</v>
      </c>
      <c r="AM115" s="2" t="n">
        <v>1283224.00342427</v>
      </c>
      <c r="AN115" s="2" t="n">
        <v>704896.86144925</v>
      </c>
      <c r="AO115" s="2" t="n">
        <v>399836.143594629</v>
      </c>
      <c r="AP115" s="2" t="n">
        <v>322802.787120821</v>
      </c>
      <c r="AQ115" s="2" t="n">
        <v>171449.112870702</v>
      </c>
      <c r="AR115" s="2" t="n">
        <v>153762.275933774</v>
      </c>
      <c r="AS115" s="2" t="n">
        <v>323983.883614602</v>
      </c>
    </row>
    <row r="116">
      <c r="A116" s="2" t="s">
        <v>896</v>
      </c>
      <c r="B116" s="2" t="n">
        <v>332.146230901068</v>
      </c>
      <c r="C116" s="2" t="n">
        <v>1.25873333333333</v>
      </c>
      <c r="D116" s="2" t="s">
        <v>46</v>
      </c>
      <c r="E116" s="2" t="s">
        <v>897</v>
      </c>
      <c r="F116" s="2" t="n">
        <v>264476</v>
      </c>
      <c r="G116" s="5" t="str">
        <f>HYPERLINK("http://funmeta.oebiotech.com/network/264476", "http://funmeta.oebiotech.com/network/264476")</f>
      </c>
      <c r="H116" s="2"/>
      <c r="I116" s="2" t="n">
        <v>21937</v>
      </c>
      <c r="J116" s="2"/>
      <c r="K116" s="2"/>
      <c r="L116" s="2"/>
      <c r="M116" s="2"/>
      <c r="N116" s="2"/>
      <c r="O116" s="2" t="n">
        <v>145459043</v>
      </c>
      <c r="P116" s="2"/>
      <c r="Q116" s="2" t="s">
        <v>898</v>
      </c>
      <c r="R116" s="2" t="s">
        <v>899</v>
      </c>
      <c r="S116" s="2" t="s">
        <v>77</v>
      </c>
      <c r="T116" s="2" t="s">
        <v>77</v>
      </c>
      <c r="U116" s="2" t="s">
        <v>77</v>
      </c>
      <c r="V116" s="2" t="s">
        <v>122</v>
      </c>
      <c r="W116" s="2" t="n">
        <v>40.3</v>
      </c>
      <c r="X116" s="2" t="n">
        <v>0</v>
      </c>
      <c r="Y116" s="2" t="s">
        <v>290</v>
      </c>
      <c r="Z116" s="2" t="s">
        <v>900</v>
      </c>
      <c r="AA116" s="2" t="n">
        <v>-0.278417709263729</v>
      </c>
      <c r="AB116" s="2" t="n">
        <v>1.80614096680638</v>
      </c>
      <c r="AC116" s="2" t="n">
        <v>54009.562664167</v>
      </c>
      <c r="AD116" s="2" t="n">
        <v>384868.613174358</v>
      </c>
      <c r="AE116" s="3" t="n">
        <v>0.140332468835797</v>
      </c>
      <c r="AF116" s="3" t="n">
        <v>-2.8330792498001</v>
      </c>
      <c r="AG116" s="3" t="s">
        <v>57</v>
      </c>
      <c r="AH116" s="2" t="n">
        <v>0.00000332629481313864</v>
      </c>
      <c r="AI116" s="2" t="n">
        <v>0.000347181086776329</v>
      </c>
      <c r="AJ116" s="2" t="n">
        <v>32289.9412634854</v>
      </c>
      <c r="AK116" s="2" t="n">
        <v>76901.6032157142</v>
      </c>
      <c r="AL116" s="2" t="n">
        <v>113610.323067003</v>
      </c>
      <c r="AM116" s="2" t="n">
        <v>45411.2824009654</v>
      </c>
      <c r="AN116" s="2" t="n">
        <v>1834.66337366712</v>
      </c>
      <c r="AO116" s="2" t="n">
        <v>388434.48953677</v>
      </c>
      <c r="AP116" s="2" t="n">
        <v>388980.368287283</v>
      </c>
      <c r="AQ116" s="2" t="n">
        <v>433937.359450256</v>
      </c>
      <c r="AR116" s="2" t="n">
        <v>303225.02488012</v>
      </c>
      <c r="AS116" s="2" t="n">
        <v>409765.823717359</v>
      </c>
    </row>
    <row r="117">
      <c r="A117" s="2" t="s">
        <v>901</v>
      </c>
      <c r="B117" s="2" t="n">
        <v>272.096040724321</v>
      </c>
      <c r="C117" s="2" t="n">
        <v>6.039</v>
      </c>
      <c r="D117" s="2" t="s">
        <v>46</v>
      </c>
      <c r="E117" s="2" t="s">
        <v>902</v>
      </c>
      <c r="F117" s="2" t="n">
        <v>209153</v>
      </c>
      <c r="G117" s="5" t="str">
        <f>HYPERLINK("http://funmeta.oebiotech.com/network/209153", "http://funmeta.oebiotech.com/network/209153")</f>
      </c>
      <c r="H117" s="2" t="s">
        <v>903</v>
      </c>
      <c r="I117" s="2"/>
      <c r="J117" s="2"/>
      <c r="K117" s="2"/>
      <c r="L117" s="2"/>
      <c r="M117" s="2"/>
      <c r="N117" s="2"/>
      <c r="O117" s="2" t="n">
        <v>125979</v>
      </c>
      <c r="P117" s="2"/>
      <c r="Q117" s="2" t="s">
        <v>904</v>
      </c>
      <c r="R117" s="2" t="s">
        <v>905</v>
      </c>
      <c r="S117" s="2" t="s">
        <v>77</v>
      </c>
      <c r="T117" s="2" t="s">
        <v>77</v>
      </c>
      <c r="U117" s="2" t="s">
        <v>77</v>
      </c>
      <c r="V117" s="2" t="s">
        <v>54</v>
      </c>
      <c r="W117" s="2" t="n">
        <v>41.5</v>
      </c>
      <c r="X117" s="2" t="n">
        <v>14.1</v>
      </c>
      <c r="Y117" s="2" t="s">
        <v>290</v>
      </c>
      <c r="Z117" s="2" t="s">
        <v>906</v>
      </c>
      <c r="AA117" s="2" t="n">
        <v>-0.592947588652865</v>
      </c>
      <c r="AB117" s="2" t="n">
        <v>1.80481271240786</v>
      </c>
      <c r="AC117" s="2" t="n">
        <v>182412.79860852</v>
      </c>
      <c r="AD117" s="2" t="n">
        <v>599336.781157571</v>
      </c>
      <c r="AE117" s="3" t="n">
        <v>0.30435775734672</v>
      </c>
      <c r="AF117" s="3" t="n">
        <v>-1.71615995777865</v>
      </c>
      <c r="AG117" s="3" t="s">
        <v>57</v>
      </c>
      <c r="AH117" s="2" t="n">
        <v>0.0261890964789444</v>
      </c>
      <c r="AI117" s="2" t="n">
        <v>0.0692858263506159</v>
      </c>
      <c r="AJ117" s="2" t="n">
        <v>59315.9015288331</v>
      </c>
      <c r="AK117" s="2" t="n">
        <v>156555.861802378</v>
      </c>
      <c r="AL117" s="2" t="n">
        <v>558185.879585951</v>
      </c>
      <c r="AM117" s="2" t="n">
        <v>135853.018852226</v>
      </c>
      <c r="AN117" s="2" t="n">
        <v>2153.33127321325</v>
      </c>
      <c r="AO117" s="2" t="n">
        <v>465954.474788981</v>
      </c>
      <c r="AP117" s="2" t="n">
        <v>708721.398769145</v>
      </c>
      <c r="AQ117" s="2" t="n">
        <v>959833.414501503</v>
      </c>
      <c r="AR117" s="2" t="n">
        <v>255908.027237957</v>
      </c>
      <c r="AS117" s="2" t="n">
        <v>606266.590490267</v>
      </c>
    </row>
    <row r="118">
      <c r="A118" s="2" t="s">
        <v>907</v>
      </c>
      <c r="B118" s="2" t="n">
        <v>328.223324245294</v>
      </c>
      <c r="C118" s="2" t="n">
        <v>4.0394</v>
      </c>
      <c r="D118" s="2" t="s">
        <v>59</v>
      </c>
      <c r="E118" s="2" t="s">
        <v>908</v>
      </c>
      <c r="F118" s="2" t="n">
        <v>263856</v>
      </c>
      <c r="G118" s="5" t="str">
        <f>HYPERLINK("http://funmeta.oebiotech.com/network/263856", "http://funmeta.oebiotech.com/network/263856")</f>
      </c>
      <c r="H118" s="2"/>
      <c r="I118" s="2" t="n">
        <v>21286</v>
      </c>
      <c r="J118" s="2"/>
      <c r="K118" s="2"/>
      <c r="L118" s="2"/>
      <c r="M118" s="2"/>
      <c r="N118" s="2"/>
      <c r="O118" s="2" t="n">
        <v>145457640</v>
      </c>
      <c r="P118" s="2"/>
      <c r="Q118" s="2" t="s">
        <v>909</v>
      </c>
      <c r="R118" s="2" t="s">
        <v>910</v>
      </c>
      <c r="S118" s="2" t="s">
        <v>110</v>
      </c>
      <c r="T118" s="2" t="s">
        <v>111</v>
      </c>
      <c r="U118" s="2" t="s">
        <v>112</v>
      </c>
      <c r="V118" s="2" t="s">
        <v>92</v>
      </c>
      <c r="W118" s="2" t="n">
        <v>56.4</v>
      </c>
      <c r="X118" s="2" t="n">
        <v>66.5</v>
      </c>
      <c r="Y118" s="2" t="s">
        <v>248</v>
      </c>
      <c r="Z118" s="2" t="s">
        <v>911</v>
      </c>
      <c r="AA118" s="2" t="n">
        <v>0.737710767255757</v>
      </c>
      <c r="AB118" s="2" t="n">
        <v>1.7861857874594</v>
      </c>
      <c r="AC118" s="2" t="n">
        <v>68696.0173959417</v>
      </c>
      <c r="AD118" s="2" t="n">
        <v>394920.298927895</v>
      </c>
      <c r="AE118" s="3" t="n">
        <v>0.173949066640619</v>
      </c>
      <c r="AF118" s="3" t="n">
        <v>-2.52326315698482</v>
      </c>
      <c r="AG118" s="3" t="s">
        <v>57</v>
      </c>
      <c r="AH118" s="2" t="n">
        <v>0.0000166829080524709</v>
      </c>
      <c r="AI118" s="2" t="n">
        <v>0.000555465006747042</v>
      </c>
      <c r="AJ118" s="2" t="n">
        <v>29553.6792306614</v>
      </c>
      <c r="AK118" s="2" t="n">
        <v>137710.863603595</v>
      </c>
      <c r="AL118" s="2" t="n">
        <v>122611.756632307</v>
      </c>
      <c r="AM118" s="2" t="n">
        <v>46056.6247699121</v>
      </c>
      <c r="AN118" s="2" t="n">
        <v>7547.1627432332</v>
      </c>
      <c r="AO118" s="2" t="n">
        <v>415632.495910626</v>
      </c>
      <c r="AP118" s="2" t="n">
        <v>389613.191532134</v>
      </c>
      <c r="AQ118" s="2" t="n">
        <v>472650.341628002</v>
      </c>
      <c r="AR118" s="2" t="n">
        <v>323377.994172276</v>
      </c>
      <c r="AS118" s="2" t="n">
        <v>373327.471396438</v>
      </c>
    </row>
    <row r="119">
      <c r="A119" s="2" t="s">
        <v>912</v>
      </c>
      <c r="B119" s="2" t="n">
        <v>346.197553844172</v>
      </c>
      <c r="C119" s="2" t="n">
        <v>2.59073333333333</v>
      </c>
      <c r="D119" s="2" t="s">
        <v>59</v>
      </c>
      <c r="E119" s="2" t="s">
        <v>913</v>
      </c>
      <c r="F119" s="2" t="n">
        <v>205050</v>
      </c>
      <c r="G119" s="5" t="str">
        <f>HYPERLINK("http://funmeta.oebiotech.com/network/205050", "http://funmeta.oebiotech.com/network/205050")</f>
      </c>
      <c r="H119" s="2" t="s">
        <v>914</v>
      </c>
      <c r="I119" s="2"/>
      <c r="J119" s="2"/>
      <c r="K119" s="2"/>
      <c r="L119" s="2"/>
      <c r="M119" s="2"/>
      <c r="N119" s="2"/>
      <c r="O119" s="2"/>
      <c r="P119" s="2"/>
      <c r="Q119" s="2" t="s">
        <v>915</v>
      </c>
      <c r="R119" s="2" t="s">
        <v>916</v>
      </c>
      <c r="S119" s="2" t="s">
        <v>147</v>
      </c>
      <c r="T119" s="2" t="s">
        <v>597</v>
      </c>
      <c r="U119" s="2" t="s">
        <v>77</v>
      </c>
      <c r="V119" s="2" t="s">
        <v>54</v>
      </c>
      <c r="W119" s="2" t="n">
        <v>41.3</v>
      </c>
      <c r="X119" s="2" t="n">
        <v>15.1</v>
      </c>
      <c r="Y119" s="2" t="s">
        <v>363</v>
      </c>
      <c r="Z119" s="2" t="s">
        <v>917</v>
      </c>
      <c r="AA119" s="2" t="n">
        <v>-4.10027628789821</v>
      </c>
      <c r="AB119" s="2" t="n">
        <v>1.78462206116572</v>
      </c>
      <c r="AC119" s="2" t="n">
        <v>35439.5924425027</v>
      </c>
      <c r="AD119" s="2" t="n">
        <v>357171.77111085</v>
      </c>
      <c r="AE119" s="3" t="n">
        <v>0.0992228258472976</v>
      </c>
      <c r="AF119" s="3" t="n">
        <v>-3.33318414427737</v>
      </c>
      <c r="AG119" s="3" t="s">
        <v>57</v>
      </c>
      <c r="AH119" s="2" t="n">
        <v>0.0000106150589033365</v>
      </c>
      <c r="AI119" s="2" t="n">
        <v>0.000500260487955974</v>
      </c>
      <c r="AJ119" s="2" t="n">
        <v>9902.81833603469</v>
      </c>
      <c r="AK119" s="2" t="n">
        <v>67033.7980031067</v>
      </c>
      <c r="AL119" s="2" t="n">
        <v>69318.029830071</v>
      </c>
      <c r="AM119" s="2" t="n">
        <v>28938.7647925345</v>
      </c>
      <c r="AN119" s="2" t="n">
        <v>2004.55125076652</v>
      </c>
      <c r="AO119" s="2" t="n">
        <v>339529.490963845</v>
      </c>
      <c r="AP119" s="2" t="n">
        <v>320991.681301528</v>
      </c>
      <c r="AQ119" s="2" t="n">
        <v>446869.481748855</v>
      </c>
      <c r="AR119" s="2" t="n">
        <v>277124.398772376</v>
      </c>
      <c r="AS119" s="2" t="n">
        <v>401343.802767645</v>
      </c>
    </row>
    <row r="120">
      <c r="A120" s="2" t="s">
        <v>918</v>
      </c>
      <c r="B120" s="2" t="n">
        <v>671.302264997318</v>
      </c>
      <c r="C120" s="2" t="n">
        <v>7.91845</v>
      </c>
      <c r="D120" s="2" t="s">
        <v>46</v>
      </c>
      <c r="E120" s="2" t="s">
        <v>919</v>
      </c>
      <c r="F120" s="2" t="n">
        <v>27987</v>
      </c>
      <c r="G120" s="5" t="str">
        <f>HYPERLINK("http://funmeta.oebiotech.com/network/27987", "http://funmeta.oebiotech.com/network/27987")</f>
      </c>
      <c r="H120" s="2"/>
      <c r="I120" s="2"/>
      <c r="J120" s="2" t="s">
        <v>920</v>
      </c>
      <c r="K120" s="2"/>
      <c r="L120" s="2"/>
      <c r="M120" s="2"/>
      <c r="N120" s="2"/>
      <c r="O120" s="2" t="n">
        <v>134812434</v>
      </c>
      <c r="P120" s="2"/>
      <c r="Q120" s="2" t="s">
        <v>921</v>
      </c>
      <c r="R120" s="2" t="s">
        <v>922</v>
      </c>
      <c r="S120" s="2" t="s">
        <v>66</v>
      </c>
      <c r="T120" s="2" t="s">
        <v>129</v>
      </c>
      <c r="U120" s="2" t="s">
        <v>130</v>
      </c>
      <c r="V120" s="2" t="s">
        <v>54</v>
      </c>
      <c r="W120" s="2" t="n">
        <v>37.7</v>
      </c>
      <c r="X120" s="2" t="n">
        <v>0</v>
      </c>
      <c r="Y120" s="2" t="s">
        <v>290</v>
      </c>
      <c r="Z120" s="2" t="s">
        <v>923</v>
      </c>
      <c r="AA120" s="2" t="n">
        <v>-3.96570783935555</v>
      </c>
      <c r="AB120" s="2" t="n">
        <v>1.78380172401079</v>
      </c>
      <c r="AC120" s="2" t="n">
        <v>702.134215593003</v>
      </c>
      <c r="AD120" s="2" t="n">
        <v>363744.407073568</v>
      </c>
      <c r="AE120" s="3" t="n">
        <v>0.00193029556451983</v>
      </c>
      <c r="AF120" s="3" t="n">
        <v>-9.01696251653676</v>
      </c>
      <c r="AG120" s="3" t="s">
        <v>57</v>
      </c>
      <c r="AH120" s="2" t="n">
        <v>0.00908569760474026</v>
      </c>
      <c r="AI120" s="2" t="n">
        <v>0.0336975873188468</v>
      </c>
      <c r="AJ120" s="2" t="n">
        <v>1142.08885719571</v>
      </c>
      <c r="AK120" s="2" t="n">
        <v>0.00000136409140715624</v>
      </c>
      <c r="AL120" s="2" t="n">
        <v>2368.58221667703</v>
      </c>
      <c r="AM120" s="2" t="n">
        <v>0.00000136409140715624</v>
      </c>
      <c r="AN120" s="2" t="n">
        <v>0.00000136409140715624</v>
      </c>
      <c r="AO120" s="2" t="n">
        <v>332484.676716226</v>
      </c>
      <c r="AP120" s="2" t="n">
        <v>147386.731483945</v>
      </c>
      <c r="AQ120" s="2" t="n">
        <v>607015.910365388</v>
      </c>
      <c r="AR120" s="2" t="n">
        <v>122644.723015575</v>
      </c>
      <c r="AS120" s="2" t="n">
        <v>609189.993786707</v>
      </c>
    </row>
    <row r="121">
      <c r="A121" s="2" t="s">
        <v>924</v>
      </c>
      <c r="B121" s="2" t="n">
        <v>344.182662484895</v>
      </c>
      <c r="C121" s="2" t="n">
        <v>4.1878</v>
      </c>
      <c r="D121" s="2" t="s">
        <v>46</v>
      </c>
      <c r="E121" s="2" t="s">
        <v>925</v>
      </c>
      <c r="F121" s="2" t="n">
        <v>265823</v>
      </c>
      <c r="G121" s="5" t="str">
        <f>HYPERLINK("http://funmeta.oebiotech.com/network/265823", "http://funmeta.oebiotech.com/network/265823")</f>
      </c>
      <c r="H121" s="2"/>
      <c r="I121" s="2" t="n">
        <v>23333</v>
      </c>
      <c r="J121" s="2"/>
      <c r="K121" s="2"/>
      <c r="L121" s="2"/>
      <c r="M121" s="2"/>
      <c r="N121" s="2"/>
      <c r="O121" s="2" t="n">
        <v>145458869</v>
      </c>
      <c r="P121" s="2"/>
      <c r="Q121" s="2" t="s">
        <v>926</v>
      </c>
      <c r="R121" s="2" t="s">
        <v>927</v>
      </c>
      <c r="S121" s="2" t="s">
        <v>110</v>
      </c>
      <c r="T121" s="2" t="s">
        <v>111</v>
      </c>
      <c r="U121" s="2" t="s">
        <v>112</v>
      </c>
      <c r="V121" s="2" t="s">
        <v>122</v>
      </c>
      <c r="W121" s="2" t="n">
        <v>46.7</v>
      </c>
      <c r="X121" s="2" t="n">
        <v>0</v>
      </c>
      <c r="Y121" s="2" t="s">
        <v>166</v>
      </c>
      <c r="Z121" s="2" t="s">
        <v>507</v>
      </c>
      <c r="AA121" s="2" t="n">
        <v>-0.135232067126961</v>
      </c>
      <c r="AB121" s="2" t="n">
        <v>1.78168812873591</v>
      </c>
      <c r="AC121" s="2" t="n">
        <v>49541.1780585216</v>
      </c>
      <c r="AD121" s="2" t="n">
        <v>371506.338990963</v>
      </c>
      <c r="AE121" s="3" t="n">
        <v>0.133352174267279</v>
      </c>
      <c r="AF121" s="3" t="n">
        <v>-2.90668674709603</v>
      </c>
      <c r="AG121" s="3" t="s">
        <v>57</v>
      </c>
      <c r="AH121" s="2" t="n">
        <v>0.0000130157450885663</v>
      </c>
      <c r="AI121" s="2" t="n">
        <v>0.000538037624431707</v>
      </c>
      <c r="AJ121" s="2" t="n">
        <v>9233.26748181041</v>
      </c>
      <c r="AK121" s="2" t="n">
        <v>97610.6030870691</v>
      </c>
      <c r="AL121" s="2" t="n">
        <v>115262.657667592</v>
      </c>
      <c r="AM121" s="2" t="n">
        <v>25437.2752924386</v>
      </c>
      <c r="AN121" s="2" t="n">
        <v>162.086763697902</v>
      </c>
      <c r="AO121" s="2" t="n">
        <v>370242.508169584</v>
      </c>
      <c r="AP121" s="2" t="n">
        <v>320597.397182129</v>
      </c>
      <c r="AQ121" s="2" t="n">
        <v>445603.612405195</v>
      </c>
      <c r="AR121" s="2" t="n">
        <v>317764.246247944</v>
      </c>
      <c r="AS121" s="2" t="n">
        <v>403323.930949965</v>
      </c>
    </row>
    <row r="122">
      <c r="A122" s="2" t="s">
        <v>928</v>
      </c>
      <c r="B122" s="2" t="n">
        <v>192.032593945773</v>
      </c>
      <c r="C122" s="2" t="n">
        <v>0.781466666666667</v>
      </c>
      <c r="D122" s="2" t="s">
        <v>59</v>
      </c>
      <c r="E122" s="2" t="s">
        <v>929</v>
      </c>
      <c r="F122" s="2" t="n">
        <v>200224</v>
      </c>
      <c r="G122" s="5" t="str">
        <f>HYPERLINK("http://funmeta.oebiotech.com/network/200224", "http://funmeta.oebiotech.com/network/200224")</f>
      </c>
      <c r="H122" s="2" t="s">
        <v>930</v>
      </c>
      <c r="I122" s="2"/>
      <c r="J122" s="2"/>
      <c r="K122" s="2"/>
      <c r="L122" s="2"/>
      <c r="M122" s="2"/>
      <c r="N122" s="2"/>
      <c r="O122" s="2" t="n">
        <v>98342</v>
      </c>
      <c r="P122" s="2"/>
      <c r="Q122" s="2" t="s">
        <v>931</v>
      </c>
      <c r="R122" s="2" t="s">
        <v>932</v>
      </c>
      <c r="S122" s="2" t="s">
        <v>77</v>
      </c>
      <c r="T122" s="2" t="s">
        <v>77</v>
      </c>
      <c r="U122" s="2" t="s">
        <v>77</v>
      </c>
      <c r="V122" s="2" t="s">
        <v>54</v>
      </c>
      <c r="W122" s="2" t="n">
        <v>45.9</v>
      </c>
      <c r="X122" s="2" t="n">
        <v>35.9</v>
      </c>
      <c r="Y122" s="2" t="s">
        <v>332</v>
      </c>
      <c r="Z122" s="2" t="s">
        <v>933</v>
      </c>
      <c r="AA122" s="2" t="n">
        <v>0.464556978908357</v>
      </c>
      <c r="AB122" s="2" t="n">
        <v>1.76225852324364</v>
      </c>
      <c r="AC122" s="2" t="n">
        <v>516158.181528306</v>
      </c>
      <c r="AD122" s="2" t="n">
        <v>48238.8194989406</v>
      </c>
      <c r="AE122" s="4" t="n">
        <v>10.7000583117429</v>
      </c>
      <c r="AF122" s="4" t="n">
        <v>3.41954675374118</v>
      </c>
      <c r="AG122" s="4" t="s">
        <v>72</v>
      </c>
      <c r="AH122" s="2" t="n">
        <v>0.0466835649020644</v>
      </c>
      <c r="AI122" s="2" t="n">
        <v>0.100241219272079</v>
      </c>
      <c r="AJ122" s="2" t="n">
        <v>817234.90961401</v>
      </c>
      <c r="AK122" s="2" t="n">
        <v>39547.4244494251</v>
      </c>
      <c r="AL122" s="2" t="n">
        <v>22594.8813608838</v>
      </c>
      <c r="AM122" s="2" t="n">
        <v>803586.866501177</v>
      </c>
      <c r="AN122" s="2" t="n">
        <v>897826.825716035</v>
      </c>
      <c r="AO122" s="2" t="n">
        <v>76281.9472104019</v>
      </c>
      <c r="AP122" s="2" t="n">
        <v>59907.0524544396</v>
      </c>
      <c r="AQ122" s="2" t="n">
        <v>15655.0953277744</v>
      </c>
      <c r="AR122" s="2" t="n">
        <v>69659.154752018</v>
      </c>
      <c r="AS122" s="2" t="n">
        <v>19690.847750069</v>
      </c>
    </row>
    <row r="123">
      <c r="A123" s="2" t="s">
        <v>934</v>
      </c>
      <c r="B123" s="2" t="n">
        <v>791.490025738273</v>
      </c>
      <c r="C123" s="2" t="n">
        <v>5.09986666666667</v>
      </c>
      <c r="D123" s="2" t="s">
        <v>46</v>
      </c>
      <c r="E123" s="2" t="s">
        <v>935</v>
      </c>
      <c r="F123" s="2" t="n">
        <v>134957</v>
      </c>
      <c r="G123" s="5" t="str">
        <f>HYPERLINK("http://funmeta.oebiotech.com/network/134957", "http://funmeta.oebiotech.com/network/134957")</f>
      </c>
      <c r="H123" s="2" t="s">
        <v>936</v>
      </c>
      <c r="I123" s="2"/>
      <c r="J123" s="2"/>
      <c r="K123" s="2"/>
      <c r="L123" s="2"/>
      <c r="M123" s="2"/>
      <c r="N123" s="2"/>
      <c r="O123" s="2" t="n">
        <v>131821940</v>
      </c>
      <c r="P123" s="2"/>
      <c r="Q123" s="2" t="s">
        <v>937</v>
      </c>
      <c r="R123" s="2" t="s">
        <v>938</v>
      </c>
      <c r="S123" s="2" t="s">
        <v>66</v>
      </c>
      <c r="T123" s="2" t="s">
        <v>129</v>
      </c>
      <c r="U123" s="2" t="s">
        <v>775</v>
      </c>
      <c r="V123" s="2" t="s">
        <v>54</v>
      </c>
      <c r="W123" s="2" t="n">
        <v>38.5</v>
      </c>
      <c r="X123" s="2" t="n">
        <v>2.38</v>
      </c>
      <c r="Y123" s="2" t="s">
        <v>131</v>
      </c>
      <c r="Z123" s="2" t="s">
        <v>939</v>
      </c>
      <c r="AA123" s="2" t="n">
        <v>4.24253576844612</v>
      </c>
      <c r="AB123" s="2" t="n">
        <v>1.75855123258989</v>
      </c>
      <c r="AC123" s="2" t="n">
        <v>622101.835327137</v>
      </c>
      <c r="AD123" s="2" t="n">
        <v>174701.841282738</v>
      </c>
      <c r="AE123" s="4" t="n">
        <v>3.56093462300907</v>
      </c>
      <c r="AF123" s="4" t="n">
        <v>1.83225594877977</v>
      </c>
      <c r="AG123" s="4" t="s">
        <v>72</v>
      </c>
      <c r="AH123" s="2" t="n">
        <v>0.0285952802122953</v>
      </c>
      <c r="AI123" s="2" t="n">
        <v>0.0735594126620063</v>
      </c>
      <c r="AJ123" s="2" t="n">
        <v>835606.136963627</v>
      </c>
      <c r="AK123" s="2" t="n">
        <v>198497.750160716</v>
      </c>
      <c r="AL123" s="2" t="n">
        <v>229738.413330523</v>
      </c>
      <c r="AM123" s="2" t="n">
        <v>939119.327453361</v>
      </c>
      <c r="AN123" s="2" t="n">
        <v>907547.548727456</v>
      </c>
      <c r="AO123" s="2" t="n">
        <v>214519.142616014</v>
      </c>
      <c r="AP123" s="2" t="n">
        <v>174829.857778676</v>
      </c>
      <c r="AQ123" s="2" t="n">
        <v>156186.477188564</v>
      </c>
      <c r="AR123" s="2" t="n">
        <v>182425.129016097</v>
      </c>
      <c r="AS123" s="2" t="n">
        <v>145548.599814339</v>
      </c>
    </row>
    <row r="124">
      <c r="A124" s="2" t="s">
        <v>940</v>
      </c>
      <c r="B124" s="2" t="n">
        <v>334.161199530532</v>
      </c>
      <c r="C124" s="2" t="n">
        <v>1.589</v>
      </c>
      <c r="D124" s="2" t="s">
        <v>59</v>
      </c>
      <c r="E124" s="2" t="s">
        <v>941</v>
      </c>
      <c r="F124" s="2" t="n">
        <v>261744</v>
      </c>
      <c r="G124" s="5" t="str">
        <f>HYPERLINK("http://funmeta.oebiotech.com/network/261744", "http://funmeta.oebiotech.com/network/261744")</f>
      </c>
      <c r="H124" s="2"/>
      <c r="I124" s="2" t="n">
        <v>19073</v>
      </c>
      <c r="J124" s="2"/>
      <c r="K124" s="2"/>
      <c r="L124" s="2"/>
      <c r="M124" s="2"/>
      <c r="N124" s="2"/>
      <c r="O124" s="2" t="n">
        <v>145458247</v>
      </c>
      <c r="P124" s="2"/>
      <c r="Q124" s="2" t="s">
        <v>942</v>
      </c>
      <c r="R124" s="2" t="s">
        <v>943</v>
      </c>
      <c r="S124" s="2" t="s">
        <v>77</v>
      </c>
      <c r="T124" s="2" t="s">
        <v>77</v>
      </c>
      <c r="U124" s="2" t="s">
        <v>77</v>
      </c>
      <c r="V124" s="2" t="s">
        <v>92</v>
      </c>
      <c r="W124" s="2" t="n">
        <v>51.3</v>
      </c>
      <c r="X124" s="2" t="n">
        <v>53.1</v>
      </c>
      <c r="Y124" s="2" t="s">
        <v>248</v>
      </c>
      <c r="Z124" s="2" t="s">
        <v>900</v>
      </c>
      <c r="AA124" s="2" t="n">
        <v>0.969551587698766</v>
      </c>
      <c r="AB124" s="2" t="n">
        <v>1.75419687006259</v>
      </c>
      <c r="AC124" s="2" t="n">
        <v>126416.056570041</v>
      </c>
      <c r="AD124" s="2" t="n">
        <v>455215.28030233</v>
      </c>
      <c r="AE124" s="3" t="n">
        <v>0.277706092128722</v>
      </c>
      <c r="AF124" s="3" t="n">
        <v>-1.84836926851386</v>
      </c>
      <c r="AG124" s="3" t="s">
        <v>57</v>
      </c>
      <c r="AH124" s="2" t="n">
        <v>0.0000525033179827308</v>
      </c>
      <c r="AI124" s="2" t="n">
        <v>0.000982969467663906</v>
      </c>
      <c r="AJ124" s="2" t="n">
        <v>110879.427215597</v>
      </c>
      <c r="AK124" s="2" t="n">
        <v>166202.991164801</v>
      </c>
      <c r="AL124" s="2" t="n">
        <v>205821.961628836</v>
      </c>
      <c r="AM124" s="2" t="n">
        <v>124578.709833452</v>
      </c>
      <c r="AN124" s="2" t="n">
        <v>24597.1930075191</v>
      </c>
      <c r="AO124" s="2" t="n">
        <v>405351.985190969</v>
      </c>
      <c r="AP124" s="2" t="n">
        <v>434768.353252197</v>
      </c>
      <c r="AQ124" s="2" t="n">
        <v>510720.093616249</v>
      </c>
      <c r="AR124" s="2" t="n">
        <v>388562.770029723</v>
      </c>
      <c r="AS124" s="2" t="n">
        <v>536673.199422512</v>
      </c>
    </row>
    <row r="125">
      <c r="A125" s="2" t="s">
        <v>944</v>
      </c>
      <c r="B125" s="2" t="n">
        <v>219.13414010969</v>
      </c>
      <c r="C125" s="2" t="n">
        <v>2.10026666666667</v>
      </c>
      <c r="D125" s="2" t="s">
        <v>59</v>
      </c>
      <c r="E125" s="2" t="s">
        <v>945</v>
      </c>
      <c r="F125" s="2" t="n">
        <v>54054</v>
      </c>
      <c r="G125" s="5" t="str">
        <f>HYPERLINK("http://funmeta.oebiotech.com/network/54054", "http://funmeta.oebiotech.com/network/54054")</f>
      </c>
      <c r="H125" s="2" t="s">
        <v>946</v>
      </c>
      <c r="I125" s="2" t="n">
        <v>23798</v>
      </c>
      <c r="J125" s="2"/>
      <c r="K125" s="2" t="n">
        <v>74815</v>
      </c>
      <c r="L125" s="2"/>
      <c r="M125" s="2"/>
      <c r="N125" s="2"/>
      <c r="O125" s="2" t="n">
        <v>7015694</v>
      </c>
      <c r="P125" s="2" t="s">
        <v>947</v>
      </c>
      <c r="Q125" s="2" t="s">
        <v>948</v>
      </c>
      <c r="R125" s="2" t="s">
        <v>949</v>
      </c>
      <c r="S125" s="2" t="s">
        <v>110</v>
      </c>
      <c r="T125" s="2" t="s">
        <v>111</v>
      </c>
      <c r="U125" s="2" t="s">
        <v>112</v>
      </c>
      <c r="V125" s="2" t="s">
        <v>92</v>
      </c>
      <c r="W125" s="2" t="n">
        <v>59.9</v>
      </c>
      <c r="X125" s="2" t="n">
        <v>94.4</v>
      </c>
      <c r="Y125" s="2" t="s">
        <v>332</v>
      </c>
      <c r="Z125" s="2" t="s">
        <v>298</v>
      </c>
      <c r="AA125" s="2" t="n">
        <v>0.947213847025015</v>
      </c>
      <c r="AB125" s="2" t="n">
        <v>1.7511853338932</v>
      </c>
      <c r="AC125" s="2" t="n">
        <v>253657.072353911</v>
      </c>
      <c r="AD125" s="2" t="n">
        <v>644183.276359344</v>
      </c>
      <c r="AE125" s="3" t="n">
        <v>0.393765379609784</v>
      </c>
      <c r="AF125" s="3" t="n">
        <v>-1.34459182179138</v>
      </c>
      <c r="AG125" s="3" t="s">
        <v>57</v>
      </c>
      <c r="AH125" s="2" t="n">
        <v>0.00981488794813951</v>
      </c>
      <c r="AI125" s="2" t="n">
        <v>0.035481334593521</v>
      </c>
      <c r="AJ125" s="2" t="n">
        <v>241397.585793538</v>
      </c>
      <c r="AK125" s="2" t="n">
        <v>374222.611591961</v>
      </c>
      <c r="AL125" s="2" t="n">
        <v>367382.20855427</v>
      </c>
      <c r="AM125" s="2" t="n">
        <v>225415.910934918</v>
      </c>
      <c r="AN125" s="2" t="n">
        <v>59867.0448948705</v>
      </c>
      <c r="AO125" s="2" t="n">
        <v>458805.757539735</v>
      </c>
      <c r="AP125" s="2" t="n">
        <v>579148.116762301</v>
      </c>
      <c r="AQ125" s="2" t="n">
        <v>789931.009858257</v>
      </c>
      <c r="AR125" s="2" t="n">
        <v>434205.058356914</v>
      </c>
      <c r="AS125" s="2" t="n">
        <v>958826.439279514</v>
      </c>
    </row>
    <row r="126">
      <c r="A126" s="2" t="s">
        <v>950</v>
      </c>
      <c r="B126" s="2" t="n">
        <v>290.085998004063</v>
      </c>
      <c r="C126" s="2" t="n">
        <v>1.33748333333333</v>
      </c>
      <c r="D126" s="2" t="s">
        <v>59</v>
      </c>
      <c r="E126" s="2" t="s">
        <v>951</v>
      </c>
      <c r="F126" s="2" t="n">
        <v>46862</v>
      </c>
      <c r="G126" s="5" t="str">
        <f>HYPERLINK("http://funmeta.oebiotech.com/network/46862", "http://funmeta.oebiotech.com/network/46862")</f>
      </c>
      <c r="H126" s="2" t="s">
        <v>952</v>
      </c>
      <c r="I126" s="2" t="n">
        <v>3395</v>
      </c>
      <c r="J126" s="2"/>
      <c r="K126" s="2" t="n">
        <v>17172</v>
      </c>
      <c r="L126" s="2" t="s">
        <v>953</v>
      </c>
      <c r="M126" s="2" t="s">
        <v>355</v>
      </c>
      <c r="N126" s="2" t="s">
        <v>356</v>
      </c>
      <c r="O126" s="2" t="n">
        <v>187790</v>
      </c>
      <c r="P126" s="2" t="s">
        <v>954</v>
      </c>
      <c r="Q126" s="2" t="s">
        <v>955</v>
      </c>
      <c r="R126" s="2" t="s">
        <v>956</v>
      </c>
      <c r="S126" s="2" t="s">
        <v>360</v>
      </c>
      <c r="T126" s="2" t="s">
        <v>361</v>
      </c>
      <c r="U126" s="2" t="s">
        <v>362</v>
      </c>
      <c r="V126" s="2" t="s">
        <v>92</v>
      </c>
      <c r="W126" s="2" t="n">
        <v>63</v>
      </c>
      <c r="X126" s="2" t="n">
        <v>94</v>
      </c>
      <c r="Y126" s="2" t="s">
        <v>363</v>
      </c>
      <c r="Z126" s="2" t="s">
        <v>957</v>
      </c>
      <c r="AA126" s="2" t="n">
        <v>0.0876270976947457</v>
      </c>
      <c r="AB126" s="2" t="n">
        <v>1.7505478584687</v>
      </c>
      <c r="AC126" s="2" t="n">
        <v>434483.450610448</v>
      </c>
      <c r="AD126" s="2" t="n">
        <v>114321.533361255</v>
      </c>
      <c r="AE126" s="4" t="n">
        <v>3.80053903963554</v>
      </c>
      <c r="AF126" s="4" t="n">
        <v>1.92620405399229</v>
      </c>
      <c r="AG126" s="4" t="s">
        <v>72</v>
      </c>
      <c r="AH126" s="2" t="n">
        <v>0.00397528277982726</v>
      </c>
      <c r="AI126" s="2" t="n">
        <v>0.0186510465090374</v>
      </c>
      <c r="AJ126" s="2" t="n">
        <v>734588.760842412</v>
      </c>
      <c r="AK126" s="2" t="n">
        <v>372409.658703636</v>
      </c>
      <c r="AL126" s="2" t="n">
        <v>275363.267291957</v>
      </c>
      <c r="AM126" s="2" t="n">
        <v>403687.580151167</v>
      </c>
      <c r="AN126" s="2" t="n">
        <v>386367.986063066</v>
      </c>
      <c r="AO126" s="2" t="n">
        <v>108098.794718651</v>
      </c>
      <c r="AP126" s="2" t="n">
        <v>137066.238310747</v>
      </c>
      <c r="AQ126" s="2" t="n">
        <v>60008.1512728524</v>
      </c>
      <c r="AR126" s="2" t="n">
        <v>104007.947455121</v>
      </c>
      <c r="AS126" s="2" t="n">
        <v>162426.535048905</v>
      </c>
    </row>
    <row r="127">
      <c r="A127" s="2" t="s">
        <v>958</v>
      </c>
      <c r="B127" s="2" t="n">
        <v>302.305368512305</v>
      </c>
      <c r="C127" s="2" t="n">
        <v>9.25593333333333</v>
      </c>
      <c r="D127" s="2" t="s">
        <v>59</v>
      </c>
      <c r="E127" s="2" t="s">
        <v>959</v>
      </c>
      <c r="F127" s="2" t="n">
        <v>38923</v>
      </c>
      <c r="G127" s="5" t="str">
        <f>HYPERLINK("http://funmeta.oebiotech.com/network/38923", "http://funmeta.oebiotech.com/network/38923")</f>
      </c>
      <c r="H127" s="2" t="s">
        <v>960</v>
      </c>
      <c r="I127" s="2" t="n">
        <v>395</v>
      </c>
      <c r="J127" s="2" t="s">
        <v>961</v>
      </c>
      <c r="K127" s="2" t="n">
        <v>16566</v>
      </c>
      <c r="L127" s="2" t="s">
        <v>962</v>
      </c>
      <c r="M127" s="2" t="s">
        <v>963</v>
      </c>
      <c r="N127" s="2" t="s">
        <v>964</v>
      </c>
      <c r="O127" s="2" t="n">
        <v>91486</v>
      </c>
      <c r="P127" s="2" t="s">
        <v>965</v>
      </c>
      <c r="Q127" s="2" t="s">
        <v>966</v>
      </c>
      <c r="R127" s="2" t="s">
        <v>967</v>
      </c>
      <c r="S127" s="2" t="s">
        <v>255</v>
      </c>
      <c r="T127" s="2" t="s">
        <v>256</v>
      </c>
      <c r="U127" s="2" t="s">
        <v>283</v>
      </c>
      <c r="V127" s="2" t="s">
        <v>69</v>
      </c>
      <c r="W127" s="2" t="n">
        <v>53.9</v>
      </c>
      <c r="X127" s="2" t="n">
        <v>72.4</v>
      </c>
      <c r="Y127" s="2" t="s">
        <v>332</v>
      </c>
      <c r="Z127" s="2" t="s">
        <v>968</v>
      </c>
      <c r="AA127" s="2" t="n">
        <v>0.0417714399832564</v>
      </c>
      <c r="AB127" s="2" t="n">
        <v>1.749463304715</v>
      </c>
      <c r="AC127" s="2" t="n">
        <v>492911.990479827</v>
      </c>
      <c r="AD127" s="2" t="n">
        <v>71007.9854852369</v>
      </c>
      <c r="AE127" s="4" t="n">
        <v>6.94164166341978</v>
      </c>
      <c r="AF127" s="4" t="n">
        <v>2.79527689329241</v>
      </c>
      <c r="AG127" s="4" t="s">
        <v>72</v>
      </c>
      <c r="AH127" s="2" t="n">
        <v>0.0273947072020839</v>
      </c>
      <c r="AI127" s="2" t="n">
        <v>0.0713916351515601</v>
      </c>
      <c r="AJ127" s="2" t="n">
        <v>827045.582151012</v>
      </c>
      <c r="AK127" s="2" t="n">
        <v>144522.401087261</v>
      </c>
      <c r="AL127" s="2" t="n">
        <v>175389.232265032</v>
      </c>
      <c r="AM127" s="2" t="n">
        <v>434954.918666743</v>
      </c>
      <c r="AN127" s="2" t="n">
        <v>882647.818229089</v>
      </c>
      <c r="AO127" s="2" t="n">
        <v>67104.6780165918</v>
      </c>
      <c r="AP127" s="2" t="n">
        <v>79876.0007555952</v>
      </c>
      <c r="AQ127" s="2" t="n">
        <v>104842.747289798</v>
      </c>
      <c r="AR127" s="2" t="n">
        <v>55110.6952638498</v>
      </c>
      <c r="AS127" s="2" t="n">
        <v>48105.8061003495</v>
      </c>
    </row>
    <row r="128">
      <c r="A128" s="2" t="s">
        <v>969</v>
      </c>
      <c r="B128" s="2" t="n">
        <v>217.118643626092</v>
      </c>
      <c r="C128" s="2" t="n">
        <v>2.46363333333333</v>
      </c>
      <c r="D128" s="2" t="s">
        <v>46</v>
      </c>
      <c r="E128" s="2" t="s">
        <v>970</v>
      </c>
      <c r="F128" s="2" t="n">
        <v>64409</v>
      </c>
      <c r="G128" s="5" t="str">
        <f>HYPERLINK("http://funmeta.oebiotech.com/network/64409", "http://funmeta.oebiotech.com/network/64409")</f>
      </c>
      <c r="H128" s="2" t="s">
        <v>971</v>
      </c>
      <c r="I128" s="2" t="n">
        <v>95725</v>
      </c>
      <c r="J128" s="2"/>
      <c r="K128" s="2"/>
      <c r="L128" s="2"/>
      <c r="M128" s="2"/>
      <c r="N128" s="2"/>
      <c r="O128" s="2" t="n">
        <v>24443</v>
      </c>
      <c r="P128" s="2" t="s">
        <v>972</v>
      </c>
      <c r="Q128" s="2" t="s">
        <v>973</v>
      </c>
      <c r="R128" s="2" t="s">
        <v>974</v>
      </c>
      <c r="S128" s="2" t="s">
        <v>110</v>
      </c>
      <c r="T128" s="2" t="s">
        <v>111</v>
      </c>
      <c r="U128" s="2" t="s">
        <v>112</v>
      </c>
      <c r="V128" s="2" t="s">
        <v>69</v>
      </c>
      <c r="W128" s="2" t="n">
        <v>50.2</v>
      </c>
      <c r="X128" s="2" t="n">
        <v>60</v>
      </c>
      <c r="Y128" s="2" t="s">
        <v>55</v>
      </c>
      <c r="Z128" s="2" t="s">
        <v>298</v>
      </c>
      <c r="AA128" s="2" t="n">
        <v>-3.37880302356061</v>
      </c>
      <c r="AB128" s="2" t="n">
        <v>1.73283172360613</v>
      </c>
      <c r="AC128" s="2" t="n">
        <v>167398.82297494</v>
      </c>
      <c r="AD128" s="2" t="n">
        <v>498585.49510916</v>
      </c>
      <c r="AE128" s="3" t="n">
        <v>0.335747478851726</v>
      </c>
      <c r="AF128" s="3" t="n">
        <v>-1.57455152847893</v>
      </c>
      <c r="AG128" s="3" t="s">
        <v>57</v>
      </c>
      <c r="AH128" s="2" t="n">
        <v>0.000878568720244482</v>
      </c>
      <c r="AI128" s="2" t="n">
        <v>0.0061805674677463</v>
      </c>
      <c r="AJ128" s="2" t="n">
        <v>152859.266700956</v>
      </c>
      <c r="AK128" s="2" t="n">
        <v>219524.128486059</v>
      </c>
      <c r="AL128" s="2" t="n">
        <v>302977.203907117</v>
      </c>
      <c r="AM128" s="2" t="n">
        <v>147354.286507012</v>
      </c>
      <c r="AN128" s="2" t="n">
        <v>14279.229273555</v>
      </c>
      <c r="AO128" s="2" t="n">
        <v>532752.492016391</v>
      </c>
      <c r="AP128" s="2" t="n">
        <v>428802.491993079</v>
      </c>
      <c r="AQ128" s="2" t="n">
        <v>530311.596684131</v>
      </c>
      <c r="AR128" s="2" t="n">
        <v>376778.811383949</v>
      </c>
      <c r="AS128" s="2" t="n">
        <v>624282.08346825</v>
      </c>
    </row>
    <row r="129">
      <c r="A129" s="2" t="s">
        <v>975</v>
      </c>
      <c r="B129" s="2" t="n">
        <v>613.28286078893</v>
      </c>
      <c r="C129" s="2" t="n">
        <v>6.32991666666667</v>
      </c>
      <c r="D129" s="2" t="s">
        <v>46</v>
      </c>
      <c r="E129" s="2" t="s">
        <v>976</v>
      </c>
      <c r="F129" s="2" t="n">
        <v>205117</v>
      </c>
      <c r="G129" s="5" t="str">
        <f>HYPERLINK("http://funmeta.oebiotech.com/network/205117", "http://funmeta.oebiotech.com/network/205117")</f>
      </c>
      <c r="H129" s="2" t="s">
        <v>977</v>
      </c>
      <c r="I129" s="2"/>
      <c r="J129" s="2"/>
      <c r="K129" s="2"/>
      <c r="L129" s="2"/>
      <c r="M129" s="2"/>
      <c r="N129" s="2"/>
      <c r="O129" s="2" t="n">
        <v>71826</v>
      </c>
      <c r="P129" s="2"/>
      <c r="Q129" s="2" t="s">
        <v>978</v>
      </c>
      <c r="R129" s="2" t="s">
        <v>979</v>
      </c>
      <c r="S129" s="2" t="s">
        <v>77</v>
      </c>
      <c r="T129" s="2" t="s">
        <v>77</v>
      </c>
      <c r="U129" s="2" t="s">
        <v>77</v>
      </c>
      <c r="V129" s="2" t="s">
        <v>69</v>
      </c>
      <c r="W129" s="2" t="n">
        <v>43.9</v>
      </c>
      <c r="X129" s="2" t="n">
        <v>45.4</v>
      </c>
      <c r="Y129" s="2" t="s">
        <v>85</v>
      </c>
      <c r="Z129" s="2" t="s">
        <v>980</v>
      </c>
      <c r="AA129" s="2" t="n">
        <v>-0.232557920733976</v>
      </c>
      <c r="AB129" s="2" t="n">
        <v>1.72863284946015</v>
      </c>
      <c r="AC129" s="2" t="n">
        <v>408.076104650693</v>
      </c>
      <c r="AD129" s="2" t="n">
        <v>408815.410442004</v>
      </c>
      <c r="AE129" s="3" t="n">
        <v>0.00099819159020813</v>
      </c>
      <c r="AF129" s="3" t="n">
        <v>-9.96839563040463</v>
      </c>
      <c r="AG129" s="3" t="s">
        <v>57</v>
      </c>
      <c r="AH129" s="2" t="n">
        <v>0.0408123439182561</v>
      </c>
      <c r="AI129" s="2" t="n">
        <v>0.0925424950747574</v>
      </c>
      <c r="AJ129" s="2" t="n">
        <v>0.00000136409140715624</v>
      </c>
      <c r="AK129" s="2" t="n">
        <v>0.00000136409140715624</v>
      </c>
      <c r="AL129" s="2" t="n">
        <v>2040.3805177971</v>
      </c>
      <c r="AM129" s="2" t="n">
        <v>0.00000136409140715624</v>
      </c>
      <c r="AN129" s="2" t="n">
        <v>0.00000136409140715624</v>
      </c>
      <c r="AO129" s="2" t="n">
        <v>782907.188608802</v>
      </c>
      <c r="AP129" s="2" t="n">
        <v>506578.717972968</v>
      </c>
      <c r="AQ129" s="2" t="n">
        <v>13756.0110323542</v>
      </c>
      <c r="AR129" s="2" t="n">
        <v>14332.5756949523</v>
      </c>
      <c r="AS129" s="2" t="n">
        <v>726502.558900943</v>
      </c>
    </row>
    <row r="130">
      <c r="A130" s="2" t="s">
        <v>981</v>
      </c>
      <c r="B130" s="2" t="n">
        <v>360.109773003749</v>
      </c>
      <c r="C130" s="2" t="n">
        <v>5.13728333333333</v>
      </c>
      <c r="D130" s="2" t="s">
        <v>46</v>
      </c>
      <c r="E130" s="2" t="s">
        <v>982</v>
      </c>
      <c r="F130" s="2" t="n">
        <v>201571</v>
      </c>
      <c r="G130" s="5" t="str">
        <f>HYPERLINK("http://funmeta.oebiotech.com/network/201571", "http://funmeta.oebiotech.com/network/201571")</f>
      </c>
      <c r="H130" s="2" t="s">
        <v>983</v>
      </c>
      <c r="I130" s="2"/>
      <c r="J130" s="2"/>
      <c r="K130" s="2"/>
      <c r="L130" s="2"/>
      <c r="M130" s="2"/>
      <c r="N130" s="2"/>
      <c r="O130" s="2" t="n">
        <v>118328</v>
      </c>
      <c r="P130" s="2"/>
      <c r="Q130" s="2" t="s">
        <v>984</v>
      </c>
      <c r="R130" s="2" t="s">
        <v>985</v>
      </c>
      <c r="S130" s="2" t="s">
        <v>158</v>
      </c>
      <c r="T130" s="2" t="s">
        <v>986</v>
      </c>
      <c r="U130" s="2" t="s">
        <v>987</v>
      </c>
      <c r="V130" s="2" t="s">
        <v>122</v>
      </c>
      <c r="W130" s="2" t="n">
        <v>41.4</v>
      </c>
      <c r="X130" s="2" t="n">
        <v>0</v>
      </c>
      <c r="Y130" s="2" t="s">
        <v>438</v>
      </c>
      <c r="Z130" s="2" t="s">
        <v>988</v>
      </c>
      <c r="AA130" s="2" t="n">
        <v>2.36725337363093</v>
      </c>
      <c r="AB130" s="2" t="n">
        <v>1.72636096422447</v>
      </c>
      <c r="AC130" s="2" t="n">
        <v>32870.0610648535</v>
      </c>
      <c r="AD130" s="2" t="n">
        <v>359141.739711255</v>
      </c>
      <c r="AE130" s="3" t="n">
        <v>0.0915239233715373</v>
      </c>
      <c r="AF130" s="3" t="n">
        <v>-3.44970729207997</v>
      </c>
      <c r="AG130" s="3" t="s">
        <v>57</v>
      </c>
      <c r="AH130" s="2" t="n">
        <v>0.0000482590098593626</v>
      </c>
      <c r="AI130" s="2" t="n">
        <v>0.000942659325919549</v>
      </c>
      <c r="AJ130" s="2" t="n">
        <v>48373.1601341116</v>
      </c>
      <c r="AK130" s="2" t="n">
        <v>18193.5223532665</v>
      </c>
      <c r="AL130" s="2" t="n">
        <v>38054.4219903194</v>
      </c>
      <c r="AM130" s="2" t="n">
        <v>59639.7328755448</v>
      </c>
      <c r="AN130" s="2" t="n">
        <v>89.467971025158</v>
      </c>
      <c r="AO130" s="2" t="n">
        <v>250041.629933849</v>
      </c>
      <c r="AP130" s="2" t="n">
        <v>351484.869487151</v>
      </c>
      <c r="AQ130" s="2" t="n">
        <v>496466.153321914</v>
      </c>
      <c r="AR130" s="2" t="n">
        <v>327644.296624359</v>
      </c>
      <c r="AS130" s="2" t="n">
        <v>370071.749189002</v>
      </c>
    </row>
    <row r="131">
      <c r="A131" s="2" t="s">
        <v>989</v>
      </c>
      <c r="B131" s="2" t="n">
        <v>344.254465794952</v>
      </c>
      <c r="C131" s="2" t="n">
        <v>4.63565</v>
      </c>
      <c r="D131" s="2" t="s">
        <v>59</v>
      </c>
      <c r="E131" s="2" t="s">
        <v>990</v>
      </c>
      <c r="F131" s="2" t="n">
        <v>262749</v>
      </c>
      <c r="G131" s="5" t="str">
        <f>HYPERLINK("http://funmeta.oebiotech.com/network/262749", "http://funmeta.oebiotech.com/network/262749")</f>
      </c>
      <c r="H131" s="2"/>
      <c r="I131" s="2" t="n">
        <v>20128</v>
      </c>
      <c r="J131" s="2"/>
      <c r="K131" s="2"/>
      <c r="L131" s="2"/>
      <c r="M131" s="2"/>
      <c r="N131" s="2"/>
      <c r="O131" s="2" t="n">
        <v>145458953</v>
      </c>
      <c r="P131" s="2"/>
      <c r="Q131" s="2" t="s">
        <v>991</v>
      </c>
      <c r="R131" s="2" t="s">
        <v>992</v>
      </c>
      <c r="S131" s="2" t="s">
        <v>110</v>
      </c>
      <c r="T131" s="2" t="s">
        <v>111</v>
      </c>
      <c r="U131" s="2" t="s">
        <v>112</v>
      </c>
      <c r="V131" s="2" t="s">
        <v>92</v>
      </c>
      <c r="W131" s="2" t="n">
        <v>59.8</v>
      </c>
      <c r="X131" s="2" t="n">
        <v>49.5</v>
      </c>
      <c r="Y131" s="2" t="s">
        <v>248</v>
      </c>
      <c r="Z131" s="2" t="s">
        <v>993</v>
      </c>
      <c r="AA131" s="2" t="n">
        <v>0.241260597800229</v>
      </c>
      <c r="AB131" s="2" t="n">
        <v>1.71733428481793</v>
      </c>
      <c r="AC131" s="2" t="n">
        <v>80801.3519629457</v>
      </c>
      <c r="AD131" s="2" t="n">
        <v>385606.330425647</v>
      </c>
      <c r="AE131" s="3" t="n">
        <v>0.209543634498308</v>
      </c>
      <c r="AF131" s="3" t="n">
        <v>-2.25467739884097</v>
      </c>
      <c r="AG131" s="3" t="s">
        <v>57</v>
      </c>
      <c r="AH131" s="2" t="n">
        <v>0.0000614971667147955</v>
      </c>
      <c r="AI131" s="2" t="n">
        <v>0.00108546203900211</v>
      </c>
      <c r="AJ131" s="2" t="n">
        <v>26004.0750704926</v>
      </c>
      <c r="AK131" s="2" t="n">
        <v>162244.38549348</v>
      </c>
      <c r="AL131" s="2" t="n">
        <v>155181.414143816</v>
      </c>
      <c r="AM131" s="2" t="n">
        <v>59892.2375601232</v>
      </c>
      <c r="AN131" s="2" t="n">
        <v>684.647546816959</v>
      </c>
      <c r="AO131" s="2" t="n">
        <v>448799.162458158</v>
      </c>
      <c r="AP131" s="2" t="n">
        <v>388079.335098775</v>
      </c>
      <c r="AQ131" s="2" t="n">
        <v>412604.931527131</v>
      </c>
      <c r="AR131" s="2" t="n">
        <v>318065.056545346</v>
      </c>
      <c r="AS131" s="2" t="n">
        <v>360483.166498826</v>
      </c>
    </row>
    <row r="132">
      <c r="A132" s="2" t="s">
        <v>994</v>
      </c>
      <c r="B132" s="2" t="n">
        <v>164.066956828997</v>
      </c>
      <c r="C132" s="2" t="n">
        <v>0.586266666666667</v>
      </c>
      <c r="D132" s="2" t="s">
        <v>59</v>
      </c>
      <c r="E132" s="2" t="s">
        <v>995</v>
      </c>
      <c r="F132" s="2" t="n">
        <v>203450</v>
      </c>
      <c r="G132" s="5" t="str">
        <f>HYPERLINK("http://funmeta.oebiotech.com/network/203450", "http://funmeta.oebiotech.com/network/203450")</f>
      </c>
      <c r="H132" s="2" t="s">
        <v>996</v>
      </c>
      <c r="I132" s="2"/>
      <c r="J132" s="2"/>
      <c r="K132" s="2"/>
      <c r="L132" s="2"/>
      <c r="M132" s="2"/>
      <c r="N132" s="2"/>
      <c r="O132" s="2" t="n">
        <v>129713638</v>
      </c>
      <c r="P132" s="2"/>
      <c r="Q132" s="2" t="s">
        <v>997</v>
      </c>
      <c r="R132" s="2" t="s">
        <v>998</v>
      </c>
      <c r="S132" s="2" t="s">
        <v>77</v>
      </c>
      <c r="T132" s="2" t="s">
        <v>77</v>
      </c>
      <c r="U132" s="2" t="s">
        <v>77</v>
      </c>
      <c r="V132" s="2" t="s">
        <v>54</v>
      </c>
      <c r="W132" s="2" t="n">
        <v>42.5</v>
      </c>
      <c r="X132" s="2" t="n">
        <v>30.1</v>
      </c>
      <c r="Y132" s="2" t="s">
        <v>70</v>
      </c>
      <c r="Z132" s="2" t="s">
        <v>999</v>
      </c>
      <c r="AA132" s="2" t="n">
        <v>2.56530620838509</v>
      </c>
      <c r="AB132" s="2" t="n">
        <v>1.70910636790049</v>
      </c>
      <c r="AC132" s="2" t="n">
        <v>461325.366186172</v>
      </c>
      <c r="AD132" s="2" t="n">
        <v>66026.2465662305</v>
      </c>
      <c r="AE132" s="4" t="n">
        <v>6.9869997187167</v>
      </c>
      <c r="AF132" s="4" t="n">
        <v>2.80467308218978</v>
      </c>
      <c r="AG132" s="4" t="s">
        <v>72</v>
      </c>
      <c r="AH132" s="2" t="n">
        <v>0.0150008299344404</v>
      </c>
      <c r="AI132" s="2" t="n">
        <v>0.0474765015515991</v>
      </c>
      <c r="AJ132" s="2" t="n">
        <v>652244.805483718</v>
      </c>
      <c r="AK132" s="2" t="n">
        <v>157930.127985649</v>
      </c>
      <c r="AL132" s="2" t="n">
        <v>175655.000231687</v>
      </c>
      <c r="AM132" s="2" t="n">
        <v>521701.271595855</v>
      </c>
      <c r="AN132" s="2" t="n">
        <v>799095.625633949</v>
      </c>
      <c r="AO132" s="2" t="n">
        <v>66955.3508395841</v>
      </c>
      <c r="AP132" s="2" t="n">
        <v>51650.9393766663</v>
      </c>
      <c r="AQ132" s="2" t="n">
        <v>77670.274708873</v>
      </c>
      <c r="AR132" s="2" t="n">
        <v>76214.1820759885</v>
      </c>
      <c r="AS132" s="2" t="n">
        <v>57640.4858300404</v>
      </c>
    </row>
    <row r="133">
      <c r="A133" s="2" t="s">
        <v>1000</v>
      </c>
      <c r="B133" s="2" t="n">
        <v>331.130132658368</v>
      </c>
      <c r="C133" s="2" t="n">
        <v>3.71038333333333</v>
      </c>
      <c r="D133" s="2" t="s">
        <v>59</v>
      </c>
      <c r="E133" s="2" t="s">
        <v>1001</v>
      </c>
      <c r="F133" s="2" t="n">
        <v>58859</v>
      </c>
      <c r="G133" s="5" t="str">
        <f>HYPERLINK("http://funmeta.oebiotech.com/network/58859", "http://funmeta.oebiotech.com/network/58859")</f>
      </c>
      <c r="H133" s="2" t="s">
        <v>1002</v>
      </c>
      <c r="I133" s="2" t="n">
        <v>90312</v>
      </c>
      <c r="J133" s="2"/>
      <c r="K133" s="2" t="n">
        <v>168723</v>
      </c>
      <c r="L133" s="2"/>
      <c r="M133" s="2"/>
      <c r="N133" s="2"/>
      <c r="O133" s="2" t="n">
        <v>78384665</v>
      </c>
      <c r="P133" s="2" t="s">
        <v>1003</v>
      </c>
      <c r="Q133" s="2" t="s">
        <v>1004</v>
      </c>
      <c r="R133" s="2" t="s">
        <v>1005</v>
      </c>
      <c r="S133" s="2" t="s">
        <v>66</v>
      </c>
      <c r="T133" s="2" t="s">
        <v>211</v>
      </c>
      <c r="U133" s="2" t="s">
        <v>1006</v>
      </c>
      <c r="V133" s="2" t="s">
        <v>54</v>
      </c>
      <c r="W133" s="2" t="n">
        <v>42.5</v>
      </c>
      <c r="X133" s="2" t="n">
        <v>21.3</v>
      </c>
      <c r="Y133" s="2" t="s">
        <v>267</v>
      </c>
      <c r="Z133" s="2" t="s">
        <v>1007</v>
      </c>
      <c r="AA133" s="2" t="n">
        <v>-1.65887588361123</v>
      </c>
      <c r="AB133" s="2" t="n">
        <v>1.68574408707056</v>
      </c>
      <c r="AC133" s="2" t="n">
        <v>372466.989105689</v>
      </c>
      <c r="AD133" s="2" t="n">
        <v>4980.77023522029</v>
      </c>
      <c r="AE133" s="4" t="n">
        <v>74.7810020369702</v>
      </c>
      <c r="AF133" s="4" t="n">
        <v>6.22459989777751</v>
      </c>
      <c r="AG133" s="4" t="s">
        <v>72</v>
      </c>
      <c r="AH133" s="2" t="n">
        <v>0.0213539333391911</v>
      </c>
      <c r="AI133" s="2" t="n">
        <v>0.0601316911906102</v>
      </c>
      <c r="AJ133" s="2" t="n">
        <v>684701.040229708</v>
      </c>
      <c r="AK133" s="2" t="n">
        <v>67596.9811062274</v>
      </c>
      <c r="AL133" s="2" t="n">
        <v>82254.3181720586</v>
      </c>
      <c r="AM133" s="2" t="n">
        <v>422115.33682345</v>
      </c>
      <c r="AN133" s="2" t="n">
        <v>605667.269197003</v>
      </c>
      <c r="AO133" s="2" t="n">
        <v>1196.76919460582</v>
      </c>
      <c r="AP133" s="2" t="n">
        <v>14598.971510508</v>
      </c>
      <c r="AQ133" s="2" t="n">
        <v>207.704646003337</v>
      </c>
      <c r="AR133" s="2" t="n">
        <v>5404.37526205764</v>
      </c>
      <c r="AS133" s="2" t="n">
        <v>3496.03056292667</v>
      </c>
    </row>
    <row r="134">
      <c r="A134" s="2" t="s">
        <v>1008</v>
      </c>
      <c r="B134" s="2" t="n">
        <v>358.198512746156</v>
      </c>
      <c r="C134" s="2" t="n">
        <v>4.0174</v>
      </c>
      <c r="D134" s="2" t="s">
        <v>46</v>
      </c>
      <c r="E134" s="2" t="s">
        <v>1009</v>
      </c>
      <c r="F134" s="2" t="n">
        <v>265382</v>
      </c>
      <c r="G134" s="5" t="str">
        <f>HYPERLINK("http://funmeta.oebiotech.com/network/265382", "http://funmeta.oebiotech.com/network/265382")</f>
      </c>
      <c r="H134" s="2"/>
      <c r="I134" s="2" t="n">
        <v>22872</v>
      </c>
      <c r="J134" s="2"/>
      <c r="K134" s="2"/>
      <c r="L134" s="2"/>
      <c r="M134" s="2"/>
      <c r="N134" s="2"/>
      <c r="O134" s="2" t="n">
        <v>15199694</v>
      </c>
      <c r="P134" s="2"/>
      <c r="Q134" s="2" t="s">
        <v>1010</v>
      </c>
      <c r="R134" s="2" t="s">
        <v>1011</v>
      </c>
      <c r="S134" s="2" t="s">
        <v>110</v>
      </c>
      <c r="T134" s="2" t="s">
        <v>111</v>
      </c>
      <c r="U134" s="2" t="s">
        <v>112</v>
      </c>
      <c r="V134" s="2" t="s">
        <v>122</v>
      </c>
      <c r="W134" s="2" t="n">
        <v>41.5</v>
      </c>
      <c r="X134" s="2" t="n">
        <v>0</v>
      </c>
      <c r="Y134" s="2" t="s">
        <v>131</v>
      </c>
      <c r="Z134" s="2" t="s">
        <v>1012</v>
      </c>
      <c r="AA134" s="2" t="n">
        <v>0.490158202179153</v>
      </c>
      <c r="AB134" s="2" t="n">
        <v>1.68213419125979</v>
      </c>
      <c r="AC134" s="2" t="n">
        <v>163088.647912835</v>
      </c>
      <c r="AD134" s="2" t="n">
        <v>477821.465852707</v>
      </c>
      <c r="AE134" s="3" t="n">
        <v>0.341317122749584</v>
      </c>
      <c r="AF134" s="3" t="n">
        <v>-1.55081530340321</v>
      </c>
      <c r="AG134" s="3" t="s">
        <v>57</v>
      </c>
      <c r="AH134" s="2" t="n">
        <v>0.00100504802050332</v>
      </c>
      <c r="AI134" s="2" t="n">
        <v>0.0067062110294997</v>
      </c>
      <c r="AJ134" s="2" t="n">
        <v>49005.9115043636</v>
      </c>
      <c r="AK134" s="2" t="n">
        <v>308503.506881705</v>
      </c>
      <c r="AL134" s="2" t="n">
        <v>284356.622427571</v>
      </c>
      <c r="AM134" s="2" t="n">
        <v>171088.515808852</v>
      </c>
      <c r="AN134" s="2" t="n">
        <v>2488.68294168176</v>
      </c>
      <c r="AO134" s="2" t="n">
        <v>494768.878108263</v>
      </c>
      <c r="AP134" s="2" t="n">
        <v>463887.266532416</v>
      </c>
      <c r="AQ134" s="2" t="n">
        <v>516860.765685985</v>
      </c>
      <c r="AR134" s="2" t="n">
        <v>441543.424365608</v>
      </c>
      <c r="AS134" s="2" t="n">
        <v>472046.994571263</v>
      </c>
    </row>
    <row r="135">
      <c r="A135" s="2" t="s">
        <v>1013</v>
      </c>
      <c r="B135" s="2" t="n">
        <v>389.203351046204</v>
      </c>
      <c r="C135" s="2" t="n">
        <v>1.75598333333333</v>
      </c>
      <c r="D135" s="2" t="s">
        <v>59</v>
      </c>
      <c r="E135" s="2" t="s">
        <v>1014</v>
      </c>
      <c r="F135" s="2" t="n">
        <v>264267</v>
      </c>
      <c r="G135" s="5" t="str">
        <f>HYPERLINK("http://funmeta.oebiotech.com/network/264267", "http://funmeta.oebiotech.com/network/264267")</f>
      </c>
      <c r="H135" s="2"/>
      <c r="I135" s="2" t="n">
        <v>21718</v>
      </c>
      <c r="J135" s="2"/>
      <c r="K135" s="2"/>
      <c r="L135" s="2"/>
      <c r="M135" s="2"/>
      <c r="N135" s="2"/>
      <c r="O135" s="2" t="n">
        <v>145455361</v>
      </c>
      <c r="P135" s="2"/>
      <c r="Q135" s="2" t="s">
        <v>1015</v>
      </c>
      <c r="R135" s="2" t="s">
        <v>1016</v>
      </c>
      <c r="S135" s="2" t="s">
        <v>77</v>
      </c>
      <c r="T135" s="2" t="s">
        <v>77</v>
      </c>
      <c r="U135" s="2" t="s">
        <v>77</v>
      </c>
      <c r="V135" s="2" t="s">
        <v>69</v>
      </c>
      <c r="W135" s="2" t="n">
        <v>50.3</v>
      </c>
      <c r="X135" s="2" t="n">
        <v>55.4</v>
      </c>
      <c r="Y135" s="2" t="s">
        <v>332</v>
      </c>
      <c r="Z135" s="2" t="s">
        <v>1017</v>
      </c>
      <c r="AA135" s="2" t="n">
        <v>0.709333084221612</v>
      </c>
      <c r="AB135" s="2" t="n">
        <v>1.67744061144176</v>
      </c>
      <c r="AC135" s="2" t="n">
        <v>63492.9033142556</v>
      </c>
      <c r="AD135" s="2" t="n">
        <v>353344.837674145</v>
      </c>
      <c r="AE135" s="3" t="n">
        <v>0.179691045529888</v>
      </c>
      <c r="AF135" s="3" t="n">
        <v>-2.47640957747803</v>
      </c>
      <c r="AG135" s="3" t="s">
        <v>57</v>
      </c>
      <c r="AH135" s="2" t="n">
        <v>0.0000598184048020314</v>
      </c>
      <c r="AI135" s="2" t="n">
        <v>0.0010687068662802</v>
      </c>
      <c r="AJ135" s="2" t="n">
        <v>20349.4017076035</v>
      </c>
      <c r="AK135" s="2" t="n">
        <v>136996.994486639</v>
      </c>
      <c r="AL135" s="2" t="n">
        <v>114970.832284216</v>
      </c>
      <c r="AM135" s="2" t="n">
        <v>43878.1757004385</v>
      </c>
      <c r="AN135" s="2" t="n">
        <v>1269.11239238087</v>
      </c>
      <c r="AO135" s="2" t="n">
        <v>338284.687019248</v>
      </c>
      <c r="AP135" s="2" t="n">
        <v>327149.976904508</v>
      </c>
      <c r="AQ135" s="2" t="n">
        <v>432587.014873814</v>
      </c>
      <c r="AR135" s="2" t="n">
        <v>276992.888247257</v>
      </c>
      <c r="AS135" s="2" t="n">
        <v>391709.621325897</v>
      </c>
    </row>
    <row r="136">
      <c r="A136" s="2" t="s">
        <v>1018</v>
      </c>
      <c r="B136" s="2" t="n">
        <v>219.134014314771</v>
      </c>
      <c r="C136" s="2" t="n">
        <v>0.781466666666667</v>
      </c>
      <c r="D136" s="2" t="s">
        <v>59</v>
      </c>
      <c r="E136" s="2" t="s">
        <v>1019</v>
      </c>
      <c r="F136" s="2" t="n">
        <v>54148</v>
      </c>
      <c r="G136" s="5" t="str">
        <f>HYPERLINK("http://funmeta.oebiotech.com/network/54148", "http://funmeta.oebiotech.com/network/54148")</f>
      </c>
      <c r="H136" s="2" t="s">
        <v>1020</v>
      </c>
      <c r="I136" s="2"/>
      <c r="J136" s="2"/>
      <c r="K136" s="2"/>
      <c r="L136" s="2"/>
      <c r="M136" s="2"/>
      <c r="N136" s="2"/>
      <c r="O136" s="2"/>
      <c r="P136" s="2" t="s">
        <v>1021</v>
      </c>
      <c r="Q136" s="2" t="s">
        <v>1022</v>
      </c>
      <c r="R136" s="2" t="s">
        <v>1023</v>
      </c>
      <c r="S136" s="2" t="s">
        <v>110</v>
      </c>
      <c r="T136" s="2" t="s">
        <v>111</v>
      </c>
      <c r="U136" s="2" t="s">
        <v>112</v>
      </c>
      <c r="V136" s="2" t="s">
        <v>54</v>
      </c>
      <c r="W136" s="2" t="n">
        <v>46.3</v>
      </c>
      <c r="X136" s="2" t="n">
        <v>41.3</v>
      </c>
      <c r="Y136" s="2" t="s">
        <v>304</v>
      </c>
      <c r="Z136" s="2" t="s">
        <v>298</v>
      </c>
      <c r="AA136" s="2" t="n">
        <v>0.370507997021816</v>
      </c>
      <c r="AB136" s="2" t="n">
        <v>1.67680208041922</v>
      </c>
      <c r="AC136" s="2" t="n">
        <v>371257.625728365</v>
      </c>
      <c r="AD136" s="2" t="n">
        <v>713865.222877158</v>
      </c>
      <c r="AE136" s="3" t="n">
        <v>0.520066833108987</v>
      </c>
      <c r="AF136" s="3" t="n">
        <v>-0.943231060865851</v>
      </c>
      <c r="AG136" s="3" t="s">
        <v>57</v>
      </c>
      <c r="AH136" s="2" t="n">
        <v>0.00174006814637981</v>
      </c>
      <c r="AI136" s="2" t="n">
        <v>0.00997729876495664</v>
      </c>
      <c r="AJ136" s="2" t="n">
        <v>440859.78794318</v>
      </c>
      <c r="AK136" s="2" t="n">
        <v>418885.645415444</v>
      </c>
      <c r="AL136" s="2" t="n">
        <v>404690.805267407</v>
      </c>
      <c r="AM136" s="2" t="n">
        <v>344627.436814431</v>
      </c>
      <c r="AN136" s="2" t="n">
        <v>247224.453201362</v>
      </c>
      <c r="AO136" s="2" t="n">
        <v>567066.796508633</v>
      </c>
      <c r="AP136" s="2" t="n">
        <v>666231.461476613</v>
      </c>
      <c r="AQ136" s="2" t="n">
        <v>857935.335090818</v>
      </c>
      <c r="AR136" s="2" t="n">
        <v>596825.029666671</v>
      </c>
      <c r="AS136" s="2" t="n">
        <v>881267.491643057</v>
      </c>
    </row>
    <row r="137">
      <c r="A137" s="2" t="s">
        <v>1024</v>
      </c>
      <c r="B137" s="2" t="n">
        <v>374.228989528022</v>
      </c>
      <c r="C137" s="2" t="n">
        <v>3.8374</v>
      </c>
      <c r="D137" s="2" t="s">
        <v>59</v>
      </c>
      <c r="E137" s="2" t="s">
        <v>1025</v>
      </c>
      <c r="F137" s="2" t="n">
        <v>197881</v>
      </c>
      <c r="G137" s="5" t="str">
        <f>HYPERLINK("http://funmeta.oebiotech.com/network/197881", "http://funmeta.oebiotech.com/network/197881")</f>
      </c>
      <c r="H137" s="2" t="s">
        <v>1026</v>
      </c>
      <c r="I137" s="2"/>
      <c r="J137" s="2"/>
      <c r="K137" s="2"/>
      <c r="L137" s="2"/>
      <c r="M137" s="2"/>
      <c r="N137" s="2"/>
      <c r="O137" s="2"/>
      <c r="P137" s="2"/>
      <c r="Q137" s="2" t="s">
        <v>1027</v>
      </c>
      <c r="R137" s="2" t="s">
        <v>1028</v>
      </c>
      <c r="S137" s="2" t="s">
        <v>77</v>
      </c>
      <c r="T137" s="2" t="s">
        <v>77</v>
      </c>
      <c r="U137" s="2" t="s">
        <v>77</v>
      </c>
      <c r="V137" s="2" t="s">
        <v>54</v>
      </c>
      <c r="W137" s="2" t="n">
        <v>38.9</v>
      </c>
      <c r="X137" s="2" t="n">
        <v>2.24</v>
      </c>
      <c r="Y137" s="2" t="s">
        <v>363</v>
      </c>
      <c r="Z137" s="2" t="s">
        <v>1029</v>
      </c>
      <c r="AA137" s="2" t="n">
        <v>-3.38711445458336</v>
      </c>
      <c r="AB137" s="2" t="n">
        <v>1.67369036274184</v>
      </c>
      <c r="AC137" s="2" t="n">
        <v>37351.1693429291</v>
      </c>
      <c r="AD137" s="2" t="n">
        <v>321759.06876738</v>
      </c>
      <c r="AE137" s="3" t="n">
        <v>0.116084278482086</v>
      </c>
      <c r="AF137" s="3" t="n">
        <v>-3.10675549642851</v>
      </c>
      <c r="AG137" s="3" t="s">
        <v>57</v>
      </c>
      <c r="AH137" s="2" t="n">
        <v>0.0000279117588821837</v>
      </c>
      <c r="AI137" s="2" t="n">
        <v>0.000703940042646087</v>
      </c>
      <c r="AJ137" s="2" t="n">
        <v>16661.8780757588</v>
      </c>
      <c r="AK137" s="2" t="n">
        <v>68574.0039543016</v>
      </c>
      <c r="AL137" s="2" t="n">
        <v>74215.7135826397</v>
      </c>
      <c r="AM137" s="2" t="n">
        <v>26659.267570598</v>
      </c>
      <c r="AN137" s="2" t="n">
        <v>644.983531347508</v>
      </c>
      <c r="AO137" s="2" t="n">
        <v>313989.079126753</v>
      </c>
      <c r="AP137" s="2" t="n">
        <v>285833.431971609</v>
      </c>
      <c r="AQ137" s="2" t="n">
        <v>418713.276664068</v>
      </c>
      <c r="AR137" s="2" t="n">
        <v>240608.501431835</v>
      </c>
      <c r="AS137" s="2" t="n">
        <v>349651.054642637</v>
      </c>
    </row>
    <row r="138">
      <c r="A138" s="2" t="s">
        <v>1030</v>
      </c>
      <c r="B138" s="2" t="n">
        <v>362.192206570636</v>
      </c>
      <c r="C138" s="2" t="n">
        <v>2.08216666666667</v>
      </c>
      <c r="D138" s="2" t="s">
        <v>59</v>
      </c>
      <c r="E138" s="2" t="s">
        <v>1031</v>
      </c>
      <c r="F138" s="2" t="n">
        <v>262557</v>
      </c>
      <c r="G138" s="5" t="str">
        <f>HYPERLINK("http://funmeta.oebiotech.com/network/262557", "http://funmeta.oebiotech.com/network/262557")</f>
      </c>
      <c r="H138" s="2"/>
      <c r="I138" s="2" t="n">
        <v>19926</v>
      </c>
      <c r="J138" s="2"/>
      <c r="K138" s="2"/>
      <c r="L138" s="2"/>
      <c r="M138" s="2"/>
      <c r="N138" s="2"/>
      <c r="O138" s="2" t="n">
        <v>145456278</v>
      </c>
      <c r="P138" s="2"/>
      <c r="Q138" s="2" t="s">
        <v>1032</v>
      </c>
      <c r="R138" s="2" t="s">
        <v>1033</v>
      </c>
      <c r="S138" s="2" t="s">
        <v>110</v>
      </c>
      <c r="T138" s="2" t="s">
        <v>111</v>
      </c>
      <c r="U138" s="2" t="s">
        <v>112</v>
      </c>
      <c r="V138" s="2" t="s">
        <v>92</v>
      </c>
      <c r="W138" s="2" t="n">
        <v>50.1</v>
      </c>
      <c r="X138" s="2" t="n">
        <v>50.2</v>
      </c>
      <c r="Y138" s="2" t="s">
        <v>248</v>
      </c>
      <c r="Z138" s="2" t="s">
        <v>1034</v>
      </c>
      <c r="AA138" s="2" t="n">
        <v>0.0828424065579617</v>
      </c>
      <c r="AB138" s="2" t="n">
        <v>1.66919150961257</v>
      </c>
      <c r="AC138" s="2" t="n">
        <v>70162.117505487</v>
      </c>
      <c r="AD138" s="2" t="n">
        <v>364062.053250734</v>
      </c>
      <c r="AE138" s="3" t="n">
        <v>0.192720215905516</v>
      </c>
      <c r="AF138" s="3" t="n">
        <v>-2.37542017993826</v>
      </c>
      <c r="AG138" s="3" t="s">
        <v>57</v>
      </c>
      <c r="AH138" s="2" t="n">
        <v>0.000133182442283434</v>
      </c>
      <c r="AI138" s="2" t="n">
        <v>0.00172284572137069</v>
      </c>
      <c r="AJ138" s="2" t="n">
        <v>6531.58607788007</v>
      </c>
      <c r="AK138" s="2" t="n">
        <v>164402.889398401</v>
      </c>
      <c r="AL138" s="2" t="n">
        <v>142587.589356362</v>
      </c>
      <c r="AM138" s="2" t="n">
        <v>37288.5226934277</v>
      </c>
      <c r="AN138" s="2" t="n">
        <v>0.00000136409140715624</v>
      </c>
      <c r="AO138" s="2" t="n">
        <v>323543.657631505</v>
      </c>
      <c r="AP138" s="2" t="n">
        <v>331914.522838659</v>
      </c>
      <c r="AQ138" s="2" t="n">
        <v>448128.372056479</v>
      </c>
      <c r="AR138" s="2" t="n">
        <v>319586.612449362</v>
      </c>
      <c r="AS138" s="2" t="n">
        <v>397137.101277663</v>
      </c>
    </row>
    <row r="139">
      <c r="A139" s="2" t="s">
        <v>1035</v>
      </c>
      <c r="B139" s="2" t="n">
        <v>295.165526345278</v>
      </c>
      <c r="C139" s="2" t="n">
        <v>4.0394</v>
      </c>
      <c r="D139" s="2" t="s">
        <v>59</v>
      </c>
      <c r="E139" s="2" t="s">
        <v>1036</v>
      </c>
      <c r="F139" s="2" t="n">
        <v>64421</v>
      </c>
      <c r="G139" s="5" t="str">
        <f>HYPERLINK("http://funmeta.oebiotech.com/network/64421", "http://funmeta.oebiotech.com/network/64421")</f>
      </c>
      <c r="H139" s="2" t="s">
        <v>1037</v>
      </c>
      <c r="I139" s="2" t="n">
        <v>95737</v>
      </c>
      <c r="J139" s="2"/>
      <c r="K139" s="2"/>
      <c r="L139" s="2"/>
      <c r="M139" s="2"/>
      <c r="N139" s="2"/>
      <c r="O139" s="2" t="n">
        <v>15225568</v>
      </c>
      <c r="P139" s="2" t="s">
        <v>1038</v>
      </c>
      <c r="Q139" s="2" t="s">
        <v>1039</v>
      </c>
      <c r="R139" s="2" t="s">
        <v>1040</v>
      </c>
      <c r="S139" s="2" t="s">
        <v>51</v>
      </c>
      <c r="T139" s="2" t="s">
        <v>1041</v>
      </c>
      <c r="U139" s="2" t="s">
        <v>1042</v>
      </c>
      <c r="V139" s="2" t="s">
        <v>54</v>
      </c>
      <c r="W139" s="2" t="n">
        <v>44.8</v>
      </c>
      <c r="X139" s="2" t="n">
        <v>28.3</v>
      </c>
      <c r="Y139" s="2" t="s">
        <v>78</v>
      </c>
      <c r="Z139" s="2" t="s">
        <v>1043</v>
      </c>
      <c r="AA139" s="2" t="n">
        <v>1.05626031229726</v>
      </c>
      <c r="AB139" s="2" t="n">
        <v>1.65214084024602</v>
      </c>
      <c r="AC139" s="2" t="n">
        <v>264577.049854597</v>
      </c>
      <c r="AD139" s="2" t="n">
        <v>617756.238813795</v>
      </c>
      <c r="AE139" s="3" t="n">
        <v>0.428287135331298</v>
      </c>
      <c r="AF139" s="3" t="n">
        <v>-1.22334975193924</v>
      </c>
      <c r="AG139" s="3" t="s">
        <v>57</v>
      </c>
      <c r="AH139" s="2" t="n">
        <v>0.0178129883083455</v>
      </c>
      <c r="AI139" s="2" t="n">
        <v>0.0534754669502587</v>
      </c>
      <c r="AJ139" s="2" t="n">
        <v>179996.460384551</v>
      </c>
      <c r="AK139" s="2" t="n">
        <v>404847.028643841</v>
      </c>
      <c r="AL139" s="2" t="n">
        <v>413825.313190848</v>
      </c>
      <c r="AM139" s="2" t="n">
        <v>293666.344703111</v>
      </c>
      <c r="AN139" s="2" t="n">
        <v>30550.1023506364</v>
      </c>
      <c r="AO139" s="2" t="n">
        <v>451562.608582138</v>
      </c>
      <c r="AP139" s="2" t="n">
        <v>523139.565814188</v>
      </c>
      <c r="AQ139" s="2" t="n">
        <v>792995.41745394</v>
      </c>
      <c r="AR139" s="2" t="n">
        <v>429511.454724118</v>
      </c>
      <c r="AS139" s="2" t="n">
        <v>891572.147494591</v>
      </c>
    </row>
    <row r="140">
      <c r="A140" s="2" t="s">
        <v>1044</v>
      </c>
      <c r="B140" s="2" t="n">
        <v>679.291517332526</v>
      </c>
      <c r="C140" s="2" t="n">
        <v>6.45935</v>
      </c>
      <c r="D140" s="2" t="s">
        <v>46</v>
      </c>
      <c r="E140" s="2" t="s">
        <v>1045</v>
      </c>
      <c r="F140" s="2" t="n">
        <v>204126</v>
      </c>
      <c r="G140" s="5" t="str">
        <f>HYPERLINK("http://funmeta.oebiotech.com/network/204126", "http://funmeta.oebiotech.com/network/204126")</f>
      </c>
      <c r="H140" s="2" t="s">
        <v>1046</v>
      </c>
      <c r="I140" s="2"/>
      <c r="J140" s="2"/>
      <c r="K140" s="2"/>
      <c r="L140" s="2"/>
      <c r="M140" s="2"/>
      <c r="N140" s="2"/>
      <c r="O140" s="2" t="n">
        <v>3458144</v>
      </c>
      <c r="P140" s="2"/>
      <c r="Q140" s="2" t="s">
        <v>1047</v>
      </c>
      <c r="R140" s="2" t="s">
        <v>1048</v>
      </c>
      <c r="S140" s="2" t="s">
        <v>137</v>
      </c>
      <c r="T140" s="2" t="s">
        <v>138</v>
      </c>
      <c r="U140" s="2" t="s">
        <v>675</v>
      </c>
      <c r="V140" s="2" t="s">
        <v>122</v>
      </c>
      <c r="W140" s="2" t="n">
        <v>41.5</v>
      </c>
      <c r="X140" s="2" t="n">
        <v>1.48</v>
      </c>
      <c r="Y140" s="2" t="s">
        <v>85</v>
      </c>
      <c r="Z140" s="2" t="s">
        <v>1049</v>
      </c>
      <c r="AA140" s="2" t="n">
        <v>3.57646171063482</v>
      </c>
      <c r="AB140" s="2" t="n">
        <v>1.6490157013733</v>
      </c>
      <c r="AC140" s="2" t="n">
        <v>617.537828944009</v>
      </c>
      <c r="AD140" s="2" t="n">
        <v>415171.43660266</v>
      </c>
      <c r="AE140" s="3" t="n">
        <v>0.00148742850422782</v>
      </c>
      <c r="AF140" s="3" t="n">
        <v>-9.3929639601574</v>
      </c>
      <c r="AG140" s="3" t="s">
        <v>57</v>
      </c>
      <c r="AH140" s="2" t="n">
        <v>0.00895767958026888</v>
      </c>
      <c r="AI140" s="2" t="n">
        <v>0.0333282554542067</v>
      </c>
      <c r="AJ140" s="2" t="n">
        <v>0.00000136409140715624</v>
      </c>
      <c r="AK140" s="2" t="n">
        <v>0.00000136409140715624</v>
      </c>
      <c r="AL140" s="2" t="n">
        <v>2555.59642507369</v>
      </c>
      <c r="AM140" s="2" t="n">
        <v>532.09271555408</v>
      </c>
      <c r="AN140" s="2" t="n">
        <v>0.00000136409140715624</v>
      </c>
      <c r="AO140" s="2" t="n">
        <v>334568.404630439</v>
      </c>
      <c r="AP140" s="2" t="n">
        <v>235496.704735679</v>
      </c>
      <c r="AQ140" s="2" t="n">
        <v>130319.189557359</v>
      </c>
      <c r="AR140" s="2" t="n">
        <v>796539.479179707</v>
      </c>
      <c r="AS140" s="2" t="n">
        <v>578933.404910117</v>
      </c>
    </row>
    <row r="141">
      <c r="A141" s="2" t="s">
        <v>1050</v>
      </c>
      <c r="B141" s="2" t="n">
        <v>659.253471458659</v>
      </c>
      <c r="C141" s="2" t="n">
        <v>3.94138333333333</v>
      </c>
      <c r="D141" s="2" t="s">
        <v>46</v>
      </c>
      <c r="E141" s="2" t="s">
        <v>1051</v>
      </c>
      <c r="F141" s="2" t="n">
        <v>57330</v>
      </c>
      <c r="G141" s="5" t="str">
        <f>HYPERLINK("http://funmeta.oebiotech.com/network/57330", "http://funmeta.oebiotech.com/network/57330")</f>
      </c>
      <c r="H141" s="2" t="s">
        <v>1052</v>
      </c>
      <c r="I141" s="2"/>
      <c r="J141" s="2"/>
      <c r="K141" s="2" t="n">
        <v>168101</v>
      </c>
      <c r="L141" s="2"/>
      <c r="M141" s="2"/>
      <c r="N141" s="2"/>
      <c r="O141" s="2" t="n">
        <v>85257985</v>
      </c>
      <c r="P141" s="2"/>
      <c r="Q141" s="2" t="s">
        <v>1053</v>
      </c>
      <c r="R141" s="2" t="s">
        <v>1054</v>
      </c>
      <c r="S141" s="2" t="s">
        <v>137</v>
      </c>
      <c r="T141" s="2" t="s">
        <v>138</v>
      </c>
      <c r="U141" s="2" t="s">
        <v>675</v>
      </c>
      <c r="V141" s="2" t="s">
        <v>54</v>
      </c>
      <c r="W141" s="2" t="n">
        <v>41.1</v>
      </c>
      <c r="X141" s="2" t="n">
        <v>22.9</v>
      </c>
      <c r="Y141" s="2" t="s">
        <v>85</v>
      </c>
      <c r="Z141" s="2" t="s">
        <v>1055</v>
      </c>
      <c r="AA141" s="2" t="n">
        <v>-3.31297315687691</v>
      </c>
      <c r="AB141" s="2" t="n">
        <v>1.64282395552054</v>
      </c>
      <c r="AC141" s="2" t="n">
        <v>38443.7961047186</v>
      </c>
      <c r="AD141" s="2" t="n">
        <v>329784.887930756</v>
      </c>
      <c r="AE141" s="3" t="n">
        <v>0.116572340066688</v>
      </c>
      <c r="AF141" s="3" t="n">
        <v>-3.10070258407192</v>
      </c>
      <c r="AG141" s="3" t="s">
        <v>57</v>
      </c>
      <c r="AH141" s="2" t="n">
        <v>0.00000243501016786802</v>
      </c>
      <c r="AI141" s="2" t="n">
        <v>0.000347181086776329</v>
      </c>
      <c r="AJ141" s="2" t="n">
        <v>12747.8797665614</v>
      </c>
      <c r="AK141" s="2" t="n">
        <v>61856.6486175194</v>
      </c>
      <c r="AL141" s="2" t="n">
        <v>70149.2182556076</v>
      </c>
      <c r="AM141" s="2" t="n">
        <v>45151.6894259019</v>
      </c>
      <c r="AN141" s="2" t="n">
        <v>2313.54445800286</v>
      </c>
      <c r="AO141" s="2" t="n">
        <v>288787.613381533</v>
      </c>
      <c r="AP141" s="2" t="n">
        <v>322056.59941121</v>
      </c>
      <c r="AQ141" s="2" t="n">
        <v>370543.590285268</v>
      </c>
      <c r="AR141" s="2" t="n">
        <v>384720.351742737</v>
      </c>
      <c r="AS141" s="2" t="n">
        <v>282816.284833033</v>
      </c>
    </row>
    <row r="142">
      <c r="A142" s="2" t="s">
        <v>1056</v>
      </c>
      <c r="B142" s="2" t="n">
        <v>434.119116682742</v>
      </c>
      <c r="C142" s="2" t="n">
        <v>6.80381666666667</v>
      </c>
      <c r="D142" s="2" t="s">
        <v>59</v>
      </c>
      <c r="E142" s="2" t="s">
        <v>1057</v>
      </c>
      <c r="F142" s="2" t="n">
        <v>204767</v>
      </c>
      <c r="G142" s="5" t="str">
        <f>HYPERLINK("http://funmeta.oebiotech.com/network/204767", "http://funmeta.oebiotech.com/network/204767")</f>
      </c>
      <c r="H142" s="2" t="s">
        <v>1058</v>
      </c>
      <c r="I142" s="2"/>
      <c r="J142" s="2"/>
      <c r="K142" s="2"/>
      <c r="L142" s="2"/>
      <c r="M142" s="2"/>
      <c r="N142" s="2"/>
      <c r="O142" s="2" t="n">
        <v>415845</v>
      </c>
      <c r="P142" s="2"/>
      <c r="Q142" s="2" t="s">
        <v>1059</v>
      </c>
      <c r="R142" s="2" t="s">
        <v>1060</v>
      </c>
      <c r="S142" s="2" t="s">
        <v>147</v>
      </c>
      <c r="T142" s="2" t="s">
        <v>197</v>
      </c>
      <c r="U142" s="2" t="s">
        <v>1061</v>
      </c>
      <c r="V142" s="2" t="s">
        <v>69</v>
      </c>
      <c r="W142" s="2" t="n">
        <v>48.7</v>
      </c>
      <c r="X142" s="2" t="n">
        <v>57</v>
      </c>
      <c r="Y142" s="2" t="s">
        <v>363</v>
      </c>
      <c r="Z142" s="2" t="s">
        <v>1062</v>
      </c>
      <c r="AA142" s="2" t="n">
        <v>-4.63601316815391</v>
      </c>
      <c r="AB142" s="2" t="n">
        <v>1.63852597909126</v>
      </c>
      <c r="AC142" s="2" t="n">
        <v>321315.562703921</v>
      </c>
      <c r="AD142" s="2" t="n">
        <v>8810.16117660955</v>
      </c>
      <c r="AE142" s="4" t="n">
        <v>36.4710197989333</v>
      </c>
      <c r="AF142" s="4" t="n">
        <v>5.18867863561689</v>
      </c>
      <c r="AG142" s="4" t="s">
        <v>72</v>
      </c>
      <c r="AH142" s="2" t="n">
        <v>0.0319867557107398</v>
      </c>
      <c r="AI142" s="2" t="n">
        <v>0.0791157321929686</v>
      </c>
      <c r="AJ142" s="2" t="n">
        <v>728676.157349548</v>
      </c>
      <c r="AK142" s="2" t="n">
        <v>158835.463989982</v>
      </c>
      <c r="AL142" s="2" t="n">
        <v>138603.708235948</v>
      </c>
      <c r="AM142" s="2" t="n">
        <v>467326.573364506</v>
      </c>
      <c r="AN142" s="2" t="n">
        <v>113135.91057962</v>
      </c>
      <c r="AO142" s="2" t="n">
        <v>8638.75876139734</v>
      </c>
      <c r="AP142" s="2" t="n">
        <v>14481.9716252247</v>
      </c>
      <c r="AQ142" s="2" t="n">
        <v>0.00000136409140715624</v>
      </c>
      <c r="AR142" s="2" t="n">
        <v>17555.7171891677</v>
      </c>
      <c r="AS142" s="2" t="n">
        <v>3374.35830589394</v>
      </c>
    </row>
    <row r="143">
      <c r="A143" s="2" t="s">
        <v>1063</v>
      </c>
      <c r="B143" s="2" t="n">
        <v>330.203512345073</v>
      </c>
      <c r="C143" s="2" t="n">
        <v>3.46751666666667</v>
      </c>
      <c r="D143" s="2" t="s">
        <v>46</v>
      </c>
      <c r="E143" s="2" t="s">
        <v>1064</v>
      </c>
      <c r="F143" s="2" t="n">
        <v>259818</v>
      </c>
      <c r="G143" s="5" t="str">
        <f>HYPERLINK("http://funmeta.oebiotech.com/network/259818", "http://funmeta.oebiotech.com/network/259818")</f>
      </c>
      <c r="H143" s="2"/>
      <c r="I143" s="2" t="n">
        <v>17040</v>
      </c>
      <c r="J143" s="2"/>
      <c r="K143" s="2"/>
      <c r="L143" s="2"/>
      <c r="M143" s="2"/>
      <c r="N143" s="2"/>
      <c r="O143" s="2" t="n">
        <v>145456183</v>
      </c>
      <c r="P143" s="2"/>
      <c r="Q143" s="2" t="s">
        <v>1065</v>
      </c>
      <c r="R143" s="2" t="s">
        <v>1066</v>
      </c>
      <c r="S143" s="2" t="s">
        <v>110</v>
      </c>
      <c r="T143" s="2" t="s">
        <v>111</v>
      </c>
      <c r="U143" s="2" t="s">
        <v>112</v>
      </c>
      <c r="V143" s="2" t="s">
        <v>122</v>
      </c>
      <c r="W143" s="2" t="n">
        <v>48.1</v>
      </c>
      <c r="X143" s="2" t="n">
        <v>0</v>
      </c>
      <c r="Y143" s="2" t="s">
        <v>55</v>
      </c>
      <c r="Z143" s="2" t="s">
        <v>525</v>
      </c>
      <c r="AA143" s="2" t="n">
        <v>0.204506795124801</v>
      </c>
      <c r="AB143" s="2" t="n">
        <v>1.6341085885733</v>
      </c>
      <c r="AC143" s="2" t="n">
        <v>25945.2981955313</v>
      </c>
      <c r="AD143" s="2" t="n">
        <v>292188.456981881</v>
      </c>
      <c r="AE143" s="3" t="n">
        <v>0.0887964516583903</v>
      </c>
      <c r="AF143" s="3" t="n">
        <v>-3.49335416271651</v>
      </c>
      <c r="AG143" s="3" t="s">
        <v>57</v>
      </c>
      <c r="AH143" s="2" t="n">
        <v>0.0000131005811666903</v>
      </c>
      <c r="AI143" s="2" t="n">
        <v>0.000538037624431707</v>
      </c>
      <c r="AJ143" s="2" t="n">
        <v>2406.95990545127</v>
      </c>
      <c r="AK143" s="2" t="n">
        <v>48327.0629881241</v>
      </c>
      <c r="AL143" s="2" t="n">
        <v>64087.1141584464</v>
      </c>
      <c r="AM143" s="2" t="n">
        <v>14905.3539242705</v>
      </c>
      <c r="AN143" s="2" t="n">
        <v>0.00000136409140715624</v>
      </c>
      <c r="AO143" s="2" t="n">
        <v>331515.860117771</v>
      </c>
      <c r="AP143" s="2" t="n">
        <v>278928.589845267</v>
      </c>
      <c r="AQ143" s="2" t="n">
        <v>355722.55436987</v>
      </c>
      <c r="AR143" s="2" t="n">
        <v>209610.585772331</v>
      </c>
      <c r="AS143" s="2" t="n">
        <v>285164.694804167</v>
      </c>
    </row>
    <row r="144">
      <c r="A144" s="2" t="s">
        <v>1067</v>
      </c>
      <c r="B144" s="2" t="n">
        <v>647.264809264529</v>
      </c>
      <c r="C144" s="2" t="n">
        <v>6.1849</v>
      </c>
      <c r="D144" s="2" t="s">
        <v>46</v>
      </c>
      <c r="E144" s="2" t="s">
        <v>1068</v>
      </c>
      <c r="F144" s="2" t="n">
        <v>33559</v>
      </c>
      <c r="G144" s="5" t="str">
        <f>HYPERLINK("http://funmeta.oebiotech.com/network/33559", "http://funmeta.oebiotech.com/network/33559")</f>
      </c>
      <c r="H144" s="2" t="s">
        <v>1069</v>
      </c>
      <c r="I144" s="2" t="n">
        <v>51874</v>
      </c>
      <c r="J144" s="2" t="s">
        <v>1070</v>
      </c>
      <c r="K144" s="2"/>
      <c r="L144" s="2"/>
      <c r="M144" s="2"/>
      <c r="N144" s="2"/>
      <c r="O144" s="2" t="n">
        <v>11099375</v>
      </c>
      <c r="P144" s="2" t="s">
        <v>1071</v>
      </c>
      <c r="Q144" s="2" t="s">
        <v>1072</v>
      </c>
      <c r="R144" s="2" t="s">
        <v>1073</v>
      </c>
      <c r="S144" s="2" t="s">
        <v>158</v>
      </c>
      <c r="T144" s="2" t="s">
        <v>1074</v>
      </c>
      <c r="U144" s="2" t="s">
        <v>1075</v>
      </c>
      <c r="V144" s="2" t="s">
        <v>54</v>
      </c>
      <c r="W144" s="2" t="n">
        <v>39.4</v>
      </c>
      <c r="X144" s="2" t="n">
        <v>0</v>
      </c>
      <c r="Y144" s="2" t="s">
        <v>85</v>
      </c>
      <c r="Z144" s="2" t="s">
        <v>1076</v>
      </c>
      <c r="AA144" s="2" t="n">
        <v>-0.358711524250724</v>
      </c>
      <c r="AB144" s="2" t="n">
        <v>1.62875381617874</v>
      </c>
      <c r="AC144" s="2" t="n">
        <v>7952.43083417184</v>
      </c>
      <c r="AD144" s="2" t="n">
        <v>313211.188734835</v>
      </c>
      <c r="AE144" s="3" t="n">
        <v>0.0253899960160886</v>
      </c>
      <c r="AF144" s="3" t="n">
        <v>-5.2995960211607</v>
      </c>
      <c r="AG144" s="3" t="s">
        <v>57</v>
      </c>
      <c r="AH144" s="2" t="n">
        <v>0.0115086791594243</v>
      </c>
      <c r="AI144" s="2" t="n">
        <v>0.0395174714550093</v>
      </c>
      <c r="AJ144" s="2" t="n">
        <v>1678.10708072617</v>
      </c>
      <c r="AK144" s="2" t="n">
        <v>4857.7990957873</v>
      </c>
      <c r="AL144" s="2" t="n">
        <v>9802.53996843856</v>
      </c>
      <c r="AM144" s="2" t="n">
        <v>23423.7080245431</v>
      </c>
      <c r="AN144" s="2" t="n">
        <v>0.00000136409140715624</v>
      </c>
      <c r="AO144" s="2" t="n">
        <v>452779.025863663</v>
      </c>
      <c r="AP144" s="2" t="n">
        <v>213045.982351982</v>
      </c>
      <c r="AQ144" s="2" t="n">
        <v>254055.085865575</v>
      </c>
      <c r="AR144" s="2" t="n">
        <v>56927.9213890975</v>
      </c>
      <c r="AS144" s="2" t="n">
        <v>589247.928203857</v>
      </c>
    </row>
    <row r="145">
      <c r="A145" s="2" t="s">
        <v>1077</v>
      </c>
      <c r="B145" s="2" t="n">
        <v>344.182040950488</v>
      </c>
      <c r="C145" s="2" t="n">
        <v>3.46303333333333</v>
      </c>
      <c r="D145" s="2" t="s">
        <v>59</v>
      </c>
      <c r="E145" s="2" t="s">
        <v>1078</v>
      </c>
      <c r="F145" s="2" t="n">
        <v>259475</v>
      </c>
      <c r="G145" s="5" t="str">
        <f>HYPERLINK("http://funmeta.oebiotech.com/network/259475", "http://funmeta.oebiotech.com/network/259475")</f>
      </c>
      <c r="H145" s="2"/>
      <c r="I145" s="2" t="n">
        <v>16685</v>
      </c>
      <c r="J145" s="2"/>
      <c r="K145" s="2"/>
      <c r="L145" s="2"/>
      <c r="M145" s="2"/>
      <c r="N145" s="2"/>
      <c r="O145" s="2" t="n">
        <v>145456246</v>
      </c>
      <c r="P145" s="2"/>
      <c r="Q145" s="2" t="s">
        <v>1079</v>
      </c>
      <c r="R145" s="2" t="s">
        <v>1080</v>
      </c>
      <c r="S145" s="2" t="s">
        <v>110</v>
      </c>
      <c r="T145" s="2" t="s">
        <v>111</v>
      </c>
      <c r="U145" s="2" t="s">
        <v>112</v>
      </c>
      <c r="V145" s="2" t="s">
        <v>92</v>
      </c>
      <c r="W145" s="2" t="n">
        <v>54.1</v>
      </c>
      <c r="X145" s="2" t="n">
        <v>65.4</v>
      </c>
      <c r="Y145" s="2" t="s">
        <v>248</v>
      </c>
      <c r="Z145" s="2" t="s">
        <v>1081</v>
      </c>
      <c r="AA145" s="2" t="n">
        <v>1.25004970933386</v>
      </c>
      <c r="AB145" s="2" t="n">
        <v>1.62645672083173</v>
      </c>
      <c r="AC145" s="2" t="n">
        <v>55775.8608650782</v>
      </c>
      <c r="AD145" s="2" t="n">
        <v>330036.312667122</v>
      </c>
      <c r="AE145" s="3" t="n">
        <v>0.168999163802119</v>
      </c>
      <c r="AF145" s="3" t="n">
        <v>-2.5649119867321</v>
      </c>
      <c r="AG145" s="3" t="s">
        <v>57</v>
      </c>
      <c r="AH145" s="2" t="n">
        <v>0.0000241144466332524</v>
      </c>
      <c r="AI145" s="2" t="n">
        <v>0.000673259973732853</v>
      </c>
      <c r="AJ145" s="2" t="n">
        <v>42902.7243425546</v>
      </c>
      <c r="AK145" s="2" t="n">
        <v>70886.7606622052</v>
      </c>
      <c r="AL145" s="2" t="n">
        <v>87857.5732013501</v>
      </c>
      <c r="AM145" s="2" t="n">
        <v>68893.0229751147</v>
      </c>
      <c r="AN145" s="2" t="n">
        <v>8339.2231441666</v>
      </c>
      <c r="AO145" s="2" t="n">
        <v>287284.255004377</v>
      </c>
      <c r="AP145" s="2" t="n">
        <v>309334.088769585</v>
      </c>
      <c r="AQ145" s="2" t="n">
        <v>417485.205209862</v>
      </c>
      <c r="AR145" s="2" t="n">
        <v>263637.180350986</v>
      </c>
      <c r="AS145" s="2" t="n">
        <v>372440.8340008</v>
      </c>
    </row>
    <row r="146">
      <c r="A146" s="2" t="s">
        <v>1082</v>
      </c>
      <c r="B146" s="2" t="n">
        <v>229.155213060443</v>
      </c>
      <c r="C146" s="2" t="n">
        <v>3.60063333333333</v>
      </c>
      <c r="D146" s="2" t="s">
        <v>46</v>
      </c>
      <c r="E146" s="2" t="s">
        <v>1083</v>
      </c>
      <c r="F146" s="2" t="n">
        <v>53943</v>
      </c>
      <c r="G146" s="5" t="str">
        <f>HYPERLINK("http://funmeta.oebiotech.com/network/53943", "http://funmeta.oebiotech.com/network/53943")</f>
      </c>
      <c r="H146" s="2" t="s">
        <v>1084</v>
      </c>
      <c r="I146" s="2"/>
      <c r="J146" s="2"/>
      <c r="K146" s="2"/>
      <c r="L146" s="2"/>
      <c r="M146" s="2"/>
      <c r="N146" s="2"/>
      <c r="O146" s="2" t="n">
        <v>435949</v>
      </c>
      <c r="P146" s="2"/>
      <c r="Q146" s="2" t="s">
        <v>1085</v>
      </c>
      <c r="R146" s="2" t="s">
        <v>1086</v>
      </c>
      <c r="S146" s="2" t="s">
        <v>110</v>
      </c>
      <c r="T146" s="2" t="s">
        <v>111</v>
      </c>
      <c r="U146" s="2" t="s">
        <v>112</v>
      </c>
      <c r="V146" s="2" t="s">
        <v>92</v>
      </c>
      <c r="W146" s="2" t="n">
        <v>53.9</v>
      </c>
      <c r="X146" s="2" t="n">
        <v>65.1</v>
      </c>
      <c r="Y146" s="2" t="s">
        <v>55</v>
      </c>
      <c r="Z146" s="2" t="s">
        <v>237</v>
      </c>
      <c r="AA146" s="2" t="n">
        <v>-2.40299820133696</v>
      </c>
      <c r="AB146" s="2" t="n">
        <v>1.62580609093771</v>
      </c>
      <c r="AC146" s="2" t="n">
        <v>132330.604813095</v>
      </c>
      <c r="AD146" s="2" t="n">
        <v>480869.591570037</v>
      </c>
      <c r="AE146" s="3" t="n">
        <v>0.275190211926347</v>
      </c>
      <c r="AF146" s="3" t="n">
        <v>-1.86149893827922</v>
      </c>
      <c r="AG146" s="3" t="s">
        <v>57</v>
      </c>
      <c r="AH146" s="2" t="n">
        <v>0.0196851840234631</v>
      </c>
      <c r="AI146" s="2" t="n">
        <v>0.0569655201864168</v>
      </c>
      <c r="AJ146" s="2" t="n">
        <v>79983.0665248556</v>
      </c>
      <c r="AK146" s="2" t="n">
        <v>232409.812441194</v>
      </c>
      <c r="AL146" s="2" t="n">
        <v>196975.831392578</v>
      </c>
      <c r="AM146" s="2" t="n">
        <v>133866.833532938</v>
      </c>
      <c r="AN146" s="2" t="n">
        <v>18417.4801739072</v>
      </c>
      <c r="AO146" s="2" t="n">
        <v>239057.206132488</v>
      </c>
      <c r="AP146" s="2" t="n">
        <v>379754.304606471</v>
      </c>
      <c r="AQ146" s="2" t="n">
        <v>649831.044003875</v>
      </c>
      <c r="AR146" s="2" t="n">
        <v>298362.486955554</v>
      </c>
      <c r="AS146" s="2" t="n">
        <v>837342.916151799</v>
      </c>
    </row>
    <row r="147">
      <c r="A147" s="2" t="s">
        <v>1087</v>
      </c>
      <c r="B147" s="2" t="n">
        <v>243.13418970459</v>
      </c>
      <c r="C147" s="2" t="n">
        <v>2.59073333333333</v>
      </c>
      <c r="D147" s="2" t="s">
        <v>59</v>
      </c>
      <c r="E147" s="2" t="s">
        <v>1088</v>
      </c>
      <c r="F147" s="2" t="n">
        <v>53856</v>
      </c>
      <c r="G147" s="5" t="str">
        <f>HYPERLINK("http://funmeta.oebiotech.com/network/53856", "http://funmeta.oebiotech.com/network/53856")</f>
      </c>
      <c r="H147" s="2" t="s">
        <v>1089</v>
      </c>
      <c r="I147" s="2"/>
      <c r="J147" s="2"/>
      <c r="K147" s="2" t="n">
        <v>141436</v>
      </c>
      <c r="L147" s="2"/>
      <c r="M147" s="2"/>
      <c r="N147" s="2"/>
      <c r="O147" s="2" t="n">
        <v>9813855</v>
      </c>
      <c r="P147" s="2" t="s">
        <v>1090</v>
      </c>
      <c r="Q147" s="2" t="s">
        <v>1091</v>
      </c>
      <c r="R147" s="2" t="s">
        <v>1092</v>
      </c>
      <c r="S147" s="2" t="s">
        <v>110</v>
      </c>
      <c r="T147" s="2" t="s">
        <v>111</v>
      </c>
      <c r="U147" s="2" t="s">
        <v>112</v>
      </c>
      <c r="V147" s="2" t="s">
        <v>92</v>
      </c>
      <c r="W147" s="2" t="n">
        <v>55.5</v>
      </c>
      <c r="X147" s="2" t="n">
        <v>74.1</v>
      </c>
      <c r="Y147" s="2" t="s">
        <v>93</v>
      </c>
      <c r="Z147" s="2" t="s">
        <v>167</v>
      </c>
      <c r="AA147" s="2" t="n">
        <v>0.984887083288556</v>
      </c>
      <c r="AB147" s="2" t="n">
        <v>1.61982314091716</v>
      </c>
      <c r="AC147" s="2" t="n">
        <v>241846.075873675</v>
      </c>
      <c r="AD147" s="2" t="n">
        <v>583132.352607101</v>
      </c>
      <c r="AE147" s="3" t="n">
        <v>0.41473616545612</v>
      </c>
      <c r="AF147" s="3" t="n">
        <v>-1.26973423754163</v>
      </c>
      <c r="AG147" s="3" t="s">
        <v>57</v>
      </c>
      <c r="AH147" s="2" t="n">
        <v>0.0114844030699113</v>
      </c>
      <c r="AI147" s="2" t="n">
        <v>0.0394944847357279</v>
      </c>
      <c r="AJ147" s="2" t="n">
        <v>196894.578468757</v>
      </c>
      <c r="AK147" s="2" t="n">
        <v>402244.561557592</v>
      </c>
      <c r="AL147" s="2" t="n">
        <v>343596.877221145</v>
      </c>
      <c r="AM147" s="2" t="n">
        <v>225048.344687145</v>
      </c>
      <c r="AN147" s="2" t="n">
        <v>41446.0174337364</v>
      </c>
      <c r="AO147" s="2" t="n">
        <v>391205.014306568</v>
      </c>
      <c r="AP147" s="2" t="n">
        <v>567574.213669783</v>
      </c>
      <c r="AQ147" s="2" t="n">
        <v>738326.30482017</v>
      </c>
      <c r="AR147" s="2" t="n">
        <v>412064.06924169</v>
      </c>
      <c r="AS147" s="2" t="n">
        <v>806492.160997296</v>
      </c>
    </row>
    <row r="148">
      <c r="A148" s="2" t="s">
        <v>1093</v>
      </c>
      <c r="B148" s="2" t="n">
        <v>358.197611505127</v>
      </c>
      <c r="C148" s="2" t="n">
        <v>3.96693333333333</v>
      </c>
      <c r="D148" s="2" t="s">
        <v>59</v>
      </c>
      <c r="E148" s="2" t="s">
        <v>1094</v>
      </c>
      <c r="F148" s="2" t="n">
        <v>265491</v>
      </c>
      <c r="G148" s="5" t="str">
        <f>HYPERLINK("http://funmeta.oebiotech.com/network/265491", "http://funmeta.oebiotech.com/network/265491")</f>
      </c>
      <c r="H148" s="2"/>
      <c r="I148" s="2" t="n">
        <v>22988</v>
      </c>
      <c r="J148" s="2"/>
      <c r="K148" s="2"/>
      <c r="L148" s="2"/>
      <c r="M148" s="2"/>
      <c r="N148" s="2"/>
      <c r="O148" s="2" t="n">
        <v>145457461</v>
      </c>
      <c r="P148" s="2"/>
      <c r="Q148" s="2" t="s">
        <v>1095</v>
      </c>
      <c r="R148" s="2" t="s">
        <v>1096</v>
      </c>
      <c r="S148" s="2" t="s">
        <v>77</v>
      </c>
      <c r="T148" s="2" t="s">
        <v>77</v>
      </c>
      <c r="U148" s="2" t="s">
        <v>77</v>
      </c>
      <c r="V148" s="2" t="s">
        <v>92</v>
      </c>
      <c r="W148" s="2" t="n">
        <v>52.5</v>
      </c>
      <c r="X148" s="2" t="n">
        <v>52.2</v>
      </c>
      <c r="Y148" s="2" t="s">
        <v>248</v>
      </c>
      <c r="Z148" s="2" t="s">
        <v>1097</v>
      </c>
      <c r="AA148" s="2" t="n">
        <v>0.978402226543443</v>
      </c>
      <c r="AB148" s="2" t="n">
        <v>1.59639389322631</v>
      </c>
      <c r="AC148" s="2" t="n">
        <v>56644.1538572207</v>
      </c>
      <c r="AD148" s="2" t="n">
        <v>322243.238225955</v>
      </c>
      <c r="AE148" s="3" t="n">
        <v>0.17578073684048</v>
      </c>
      <c r="AF148" s="3" t="n">
        <v>-2.50815111534691</v>
      </c>
      <c r="AG148" s="3" t="s">
        <v>57</v>
      </c>
      <c r="AH148" s="2" t="n">
        <v>0.0000873873575020107</v>
      </c>
      <c r="AI148" s="2" t="n">
        <v>0.00131305106400457</v>
      </c>
      <c r="AJ148" s="2" t="n">
        <v>35936.3035991197</v>
      </c>
      <c r="AK148" s="2" t="n">
        <v>75306.7498111069</v>
      </c>
      <c r="AL148" s="2" t="n">
        <v>116737.401564058</v>
      </c>
      <c r="AM148" s="2" t="n">
        <v>47142.0106215359</v>
      </c>
      <c r="AN148" s="2" t="n">
        <v>8098.30369028298</v>
      </c>
      <c r="AO148" s="2" t="n">
        <v>284829.189990383</v>
      </c>
      <c r="AP148" s="2" t="n">
        <v>295229.142549426</v>
      </c>
      <c r="AQ148" s="2" t="n">
        <v>431622.902617947</v>
      </c>
      <c r="AR148" s="2" t="n">
        <v>250550.559285165</v>
      </c>
      <c r="AS148" s="2" t="n">
        <v>348984.396686852</v>
      </c>
    </row>
    <row r="149">
      <c r="A149" s="2" t="s">
        <v>1098</v>
      </c>
      <c r="B149" s="2" t="n">
        <v>274.140764967018</v>
      </c>
      <c r="C149" s="2" t="n">
        <v>1.18436666666667</v>
      </c>
      <c r="D149" s="2" t="s">
        <v>46</v>
      </c>
      <c r="E149" s="2" t="s">
        <v>1099</v>
      </c>
      <c r="F149" s="2" t="n">
        <v>263403</v>
      </c>
      <c r="G149" s="5" t="str">
        <f>HYPERLINK("http://funmeta.oebiotech.com/network/263403", "http://funmeta.oebiotech.com/network/263403")</f>
      </c>
      <c r="H149" s="2"/>
      <c r="I149" s="2" t="n">
        <v>20811</v>
      </c>
      <c r="J149" s="2"/>
      <c r="K149" s="2"/>
      <c r="L149" s="2"/>
      <c r="M149" s="2"/>
      <c r="N149" s="2"/>
      <c r="O149" s="2" t="n">
        <v>145457925</v>
      </c>
      <c r="P149" s="2"/>
      <c r="Q149" s="2" t="s">
        <v>1100</v>
      </c>
      <c r="R149" s="2" t="s">
        <v>1101</v>
      </c>
      <c r="S149" s="2" t="s">
        <v>77</v>
      </c>
      <c r="T149" s="2" t="s">
        <v>77</v>
      </c>
      <c r="U149" s="2" t="s">
        <v>77</v>
      </c>
      <c r="V149" s="2" t="s">
        <v>122</v>
      </c>
      <c r="W149" s="2" t="n">
        <v>40.2</v>
      </c>
      <c r="X149" s="2" t="n">
        <v>0</v>
      </c>
      <c r="Y149" s="2" t="s">
        <v>290</v>
      </c>
      <c r="Z149" s="2" t="s">
        <v>1102</v>
      </c>
      <c r="AA149" s="2" t="n">
        <v>-0.288523330341332</v>
      </c>
      <c r="AB149" s="2" t="n">
        <v>1.57736315506261</v>
      </c>
      <c r="AC149" s="2" t="n">
        <v>26512.6306514047</v>
      </c>
      <c r="AD149" s="2" t="n">
        <v>276408.201430798</v>
      </c>
      <c r="AE149" s="3" t="n">
        <v>0.095918393572133</v>
      </c>
      <c r="AF149" s="3" t="n">
        <v>-3.38204869287543</v>
      </c>
      <c r="AG149" s="3" t="s">
        <v>57</v>
      </c>
      <c r="AH149" s="2" t="n">
        <v>0.00000326203913724436</v>
      </c>
      <c r="AI149" s="2" t="n">
        <v>0.000347181086776329</v>
      </c>
      <c r="AJ149" s="2" t="n">
        <v>5684.55404715584</v>
      </c>
      <c r="AK149" s="2" t="n">
        <v>50292.5375986138</v>
      </c>
      <c r="AL149" s="2" t="n">
        <v>64317.3213754591</v>
      </c>
      <c r="AM149" s="2" t="n">
        <v>12268.7402344306</v>
      </c>
      <c r="AN149" s="2" t="n">
        <v>0.00000136409140715624</v>
      </c>
      <c r="AO149" s="2" t="n">
        <v>297309.288024906</v>
      </c>
      <c r="AP149" s="2" t="n">
        <v>261410.327324772</v>
      </c>
      <c r="AQ149" s="2" t="n">
        <v>331498.046680268</v>
      </c>
      <c r="AR149" s="2" t="n">
        <v>225972.026988582</v>
      </c>
      <c r="AS149" s="2" t="n">
        <v>265851.318135461</v>
      </c>
    </row>
    <row r="150">
      <c r="A150" s="2" t="s">
        <v>1103</v>
      </c>
      <c r="B150" s="2" t="n">
        <v>685.317714703732</v>
      </c>
      <c r="C150" s="2" t="n">
        <v>7.93711666666667</v>
      </c>
      <c r="D150" s="2" t="s">
        <v>46</v>
      </c>
      <c r="E150" s="2" t="s">
        <v>1104</v>
      </c>
      <c r="F150" s="2" t="n">
        <v>27985</v>
      </c>
      <c r="G150" s="5" t="str">
        <f>HYPERLINK("http://funmeta.oebiotech.com/network/27985", "http://funmeta.oebiotech.com/network/27985")</f>
      </c>
      <c r="H150" s="2"/>
      <c r="I150" s="2"/>
      <c r="J150" s="2" t="s">
        <v>1105</v>
      </c>
      <c r="K150" s="2"/>
      <c r="L150" s="2"/>
      <c r="M150" s="2"/>
      <c r="N150" s="2"/>
      <c r="O150" s="2" t="n">
        <v>134812432</v>
      </c>
      <c r="P150" s="2"/>
      <c r="Q150" s="2" t="s">
        <v>1106</v>
      </c>
      <c r="R150" s="2" t="s">
        <v>1107</v>
      </c>
      <c r="S150" s="2" t="s">
        <v>66</v>
      </c>
      <c r="T150" s="2" t="s">
        <v>129</v>
      </c>
      <c r="U150" s="2" t="s">
        <v>130</v>
      </c>
      <c r="V150" s="2" t="s">
        <v>54</v>
      </c>
      <c r="W150" s="2" t="n">
        <v>38.1</v>
      </c>
      <c r="X150" s="2" t="n">
        <v>0</v>
      </c>
      <c r="Y150" s="2" t="s">
        <v>290</v>
      </c>
      <c r="Z150" s="2" t="s">
        <v>1108</v>
      </c>
      <c r="AA150" s="2" t="n">
        <v>-4.17665039458941</v>
      </c>
      <c r="AB150" s="2" t="n">
        <v>1.57447862042405</v>
      </c>
      <c r="AC150" s="2" t="n">
        <v>47023.6996485688</v>
      </c>
      <c r="AD150" s="2" t="n">
        <v>396003.305874512</v>
      </c>
      <c r="AE150" s="3" t="n">
        <v>0.118745724975008</v>
      </c>
      <c r="AF150" s="3" t="n">
        <v>-3.07405251970378</v>
      </c>
      <c r="AG150" s="3" t="s">
        <v>57</v>
      </c>
      <c r="AH150" s="2" t="n">
        <v>0.0410604831680598</v>
      </c>
      <c r="AI150" s="2" t="n">
        <v>0.0929731187653903</v>
      </c>
      <c r="AJ150" s="2" t="n">
        <v>163577.000910826</v>
      </c>
      <c r="AK150" s="2" t="n">
        <v>0.00000136409140715624</v>
      </c>
      <c r="AL150" s="2" t="n">
        <v>65153.5072697365</v>
      </c>
      <c r="AM150" s="2" t="n">
        <v>6387.99005955347</v>
      </c>
      <c r="AN150" s="2" t="n">
        <v>0.00000136409140715624</v>
      </c>
      <c r="AO150" s="2" t="n">
        <v>320979.262357675</v>
      </c>
      <c r="AP150" s="2" t="n">
        <v>88609.2780112222</v>
      </c>
      <c r="AQ150" s="2" t="n">
        <v>589464.292193348</v>
      </c>
      <c r="AR150" s="2" t="n">
        <v>146709.720180462</v>
      </c>
      <c r="AS150" s="2" t="n">
        <v>834253.976629853</v>
      </c>
    </row>
    <row r="151">
      <c r="A151" s="2" t="s">
        <v>1109</v>
      </c>
      <c r="B151" s="2" t="n">
        <v>162.112504236485</v>
      </c>
      <c r="C151" s="2" t="n">
        <v>0.700516666666667</v>
      </c>
      <c r="D151" s="2" t="s">
        <v>59</v>
      </c>
      <c r="E151" s="2" t="s">
        <v>1110</v>
      </c>
      <c r="F151" s="2" t="n">
        <v>60286</v>
      </c>
      <c r="G151" s="5" t="str">
        <f>HYPERLINK("http://funmeta.oebiotech.com/network/60286", "http://funmeta.oebiotech.com/network/60286")</f>
      </c>
      <c r="H151" s="2" t="s">
        <v>1111</v>
      </c>
      <c r="I151" s="2" t="n">
        <v>91658</v>
      </c>
      <c r="J151" s="2"/>
      <c r="K151" s="2" t="n">
        <v>168857</v>
      </c>
      <c r="L151" s="2"/>
      <c r="M151" s="2"/>
      <c r="N151" s="2"/>
      <c r="O151" s="2" t="n">
        <v>33701</v>
      </c>
      <c r="P151" s="2" t="s">
        <v>1112</v>
      </c>
      <c r="Q151" s="2" t="s">
        <v>1113</v>
      </c>
      <c r="R151" s="2" t="s">
        <v>1114</v>
      </c>
      <c r="S151" s="2" t="s">
        <v>51</v>
      </c>
      <c r="T151" s="2" t="s">
        <v>1115</v>
      </c>
      <c r="U151" s="2" t="s">
        <v>77</v>
      </c>
      <c r="V151" s="2" t="s">
        <v>54</v>
      </c>
      <c r="W151" s="2" t="n">
        <v>46.1</v>
      </c>
      <c r="X151" s="2" t="n">
        <v>33.3</v>
      </c>
      <c r="Y151" s="2" t="s">
        <v>70</v>
      </c>
      <c r="Z151" s="2" t="s">
        <v>1116</v>
      </c>
      <c r="AA151" s="2" t="n">
        <v>0.239195510107811</v>
      </c>
      <c r="AB151" s="2" t="n">
        <v>1.56859917327556</v>
      </c>
      <c r="AC151" s="2" t="n">
        <v>558392.611551792</v>
      </c>
      <c r="AD151" s="2" t="n">
        <v>153434.473303027</v>
      </c>
      <c r="AE151" s="4" t="n">
        <v>3.63929043800339</v>
      </c>
      <c r="AF151" s="4" t="n">
        <v>1.86365719180799</v>
      </c>
      <c r="AG151" s="4" t="s">
        <v>72</v>
      </c>
      <c r="AH151" s="2" t="n">
        <v>0.0447211914426416</v>
      </c>
      <c r="AI151" s="2" t="n">
        <v>0.098078660873458</v>
      </c>
      <c r="AJ151" s="2" t="n">
        <v>689724.029943931</v>
      </c>
      <c r="AK151" s="2" t="n">
        <v>192517.183065912</v>
      </c>
      <c r="AL151" s="2" t="n">
        <v>321561.874906404</v>
      </c>
      <c r="AM151" s="2" t="n">
        <v>432801.870497011</v>
      </c>
      <c r="AN151" s="2" t="n">
        <v>1155358.0993457</v>
      </c>
      <c r="AO151" s="2" t="n">
        <v>142149.850467866</v>
      </c>
      <c r="AP151" s="2" t="n">
        <v>168161.84289575</v>
      </c>
      <c r="AQ151" s="2" t="n">
        <v>133392.660528014</v>
      </c>
      <c r="AR151" s="2" t="n">
        <v>165303.45047561</v>
      </c>
      <c r="AS151" s="2" t="n">
        <v>158164.562147894</v>
      </c>
    </row>
    <row r="152">
      <c r="A152" s="2" t="s">
        <v>1117</v>
      </c>
      <c r="B152" s="2" t="n">
        <v>189.12349377696</v>
      </c>
      <c r="C152" s="2" t="n">
        <v>1.14963333333333</v>
      </c>
      <c r="D152" s="2" t="s">
        <v>59</v>
      </c>
      <c r="E152" s="2" t="s">
        <v>1118</v>
      </c>
      <c r="F152" s="2" t="n">
        <v>54131</v>
      </c>
      <c r="G152" s="5" t="str">
        <f>HYPERLINK("http://funmeta.oebiotech.com/network/54131", "http://funmeta.oebiotech.com/network/54131")</f>
      </c>
      <c r="H152" s="2" t="s">
        <v>1119</v>
      </c>
      <c r="I152" s="2" t="n">
        <v>23707</v>
      </c>
      <c r="J152" s="2"/>
      <c r="K152" s="2" t="n">
        <v>75008</v>
      </c>
      <c r="L152" s="2"/>
      <c r="M152" s="2"/>
      <c r="N152" s="2"/>
      <c r="O152" s="2" t="n">
        <v>6992637</v>
      </c>
      <c r="P152" s="2" t="s">
        <v>1120</v>
      </c>
      <c r="Q152" s="2" t="s">
        <v>1121</v>
      </c>
      <c r="R152" s="2" t="s">
        <v>1122</v>
      </c>
      <c r="S152" s="2" t="s">
        <v>110</v>
      </c>
      <c r="T152" s="2" t="s">
        <v>111</v>
      </c>
      <c r="U152" s="2" t="s">
        <v>112</v>
      </c>
      <c r="V152" s="2" t="s">
        <v>92</v>
      </c>
      <c r="W152" s="2" t="n">
        <v>50.1</v>
      </c>
      <c r="X152" s="2" t="n">
        <v>49.9</v>
      </c>
      <c r="Y152" s="2" t="s">
        <v>304</v>
      </c>
      <c r="Z152" s="2" t="s">
        <v>513</v>
      </c>
      <c r="AA152" s="2" t="n">
        <v>0.664289580066508</v>
      </c>
      <c r="AB152" s="2" t="n">
        <v>1.56360002004498</v>
      </c>
      <c r="AC152" s="2" t="n">
        <v>353201.867616995</v>
      </c>
      <c r="AD152" s="2" t="n">
        <v>719205.682206921</v>
      </c>
      <c r="AE152" s="3" t="n">
        <v>0.49109994033025</v>
      </c>
      <c r="AF152" s="3" t="n">
        <v>-1.02591144764483</v>
      </c>
      <c r="AG152" s="3" t="s">
        <v>57</v>
      </c>
      <c r="AH152" s="2" t="n">
        <v>0.0392441603083062</v>
      </c>
      <c r="AI152" s="2" t="n">
        <v>0.0903973189491644</v>
      </c>
      <c r="AJ152" s="2" t="n">
        <v>352783.132715991</v>
      </c>
      <c r="AK152" s="2" t="n">
        <v>540312.573956671</v>
      </c>
      <c r="AL152" s="2" t="n">
        <v>432079.029101639</v>
      </c>
      <c r="AM152" s="2" t="n">
        <v>343002.91948924</v>
      </c>
      <c r="AN152" s="2" t="n">
        <v>97831.6828214349</v>
      </c>
      <c r="AO152" s="2" t="n">
        <v>436609.916364626</v>
      </c>
      <c r="AP152" s="2" t="n">
        <v>629901.696526598</v>
      </c>
      <c r="AQ152" s="2" t="n">
        <v>964468.428461924</v>
      </c>
      <c r="AR152" s="2" t="n">
        <v>482752.720238635</v>
      </c>
      <c r="AS152" s="2" t="n">
        <v>1082295.64944282</v>
      </c>
    </row>
    <row r="153">
      <c r="A153" s="2" t="s">
        <v>1123</v>
      </c>
      <c r="B153" s="2" t="n">
        <v>295.165484227688</v>
      </c>
      <c r="C153" s="2" t="n">
        <v>3.67618333333333</v>
      </c>
      <c r="D153" s="2" t="s">
        <v>59</v>
      </c>
      <c r="E153" s="2" t="s">
        <v>1124</v>
      </c>
      <c r="F153" s="2" t="n">
        <v>53962</v>
      </c>
      <c r="G153" s="5" t="str">
        <f>HYPERLINK("http://funmeta.oebiotech.com/network/53962", "http://funmeta.oebiotech.com/network/53962")</f>
      </c>
      <c r="H153" s="2" t="s">
        <v>1125</v>
      </c>
      <c r="I153" s="2" t="n">
        <v>24011</v>
      </c>
      <c r="J153" s="2"/>
      <c r="K153" s="2"/>
      <c r="L153" s="2"/>
      <c r="M153" s="2"/>
      <c r="N153" s="2"/>
      <c r="O153" s="2" t="n">
        <v>273262</v>
      </c>
      <c r="P153" s="2"/>
      <c r="Q153" s="2" t="s">
        <v>1126</v>
      </c>
      <c r="R153" s="2" t="s">
        <v>1127</v>
      </c>
      <c r="S153" s="2" t="s">
        <v>110</v>
      </c>
      <c r="T153" s="2" t="s">
        <v>111</v>
      </c>
      <c r="U153" s="2" t="s">
        <v>112</v>
      </c>
      <c r="V153" s="2" t="s">
        <v>92</v>
      </c>
      <c r="W153" s="2" t="n">
        <v>56.1</v>
      </c>
      <c r="X153" s="2" t="n">
        <v>71.4</v>
      </c>
      <c r="Y153" s="2" t="s">
        <v>248</v>
      </c>
      <c r="Z153" s="2" t="s">
        <v>1128</v>
      </c>
      <c r="AA153" s="2" t="n">
        <v>0.851931086151298</v>
      </c>
      <c r="AB153" s="2" t="n">
        <v>1.560920640343</v>
      </c>
      <c r="AC153" s="2" t="n">
        <v>282104.192415761</v>
      </c>
      <c r="AD153" s="2" t="n">
        <v>614322.260490264</v>
      </c>
      <c r="AE153" s="3" t="n">
        <v>0.459212062721976</v>
      </c>
      <c r="AF153" s="3" t="n">
        <v>-1.12276755522437</v>
      </c>
      <c r="AG153" s="3" t="s">
        <v>57</v>
      </c>
      <c r="AH153" s="2" t="n">
        <v>0.0183156953574617</v>
      </c>
      <c r="AI153" s="2" t="n">
        <v>0.0544407631215608</v>
      </c>
      <c r="AJ153" s="2" t="n">
        <v>138220.242480418</v>
      </c>
      <c r="AK153" s="2" t="n">
        <v>540415.527845286</v>
      </c>
      <c r="AL153" s="2" t="n">
        <v>444533.015368348</v>
      </c>
      <c r="AM153" s="2" t="n">
        <v>274954.697051964</v>
      </c>
      <c r="AN153" s="2" t="n">
        <v>12397.4793327893</v>
      </c>
      <c r="AO153" s="2" t="n">
        <v>504863.100711451</v>
      </c>
      <c r="AP153" s="2" t="n">
        <v>622237.90119377</v>
      </c>
      <c r="AQ153" s="2" t="n">
        <v>595369.337520226</v>
      </c>
      <c r="AR153" s="2" t="n">
        <v>521746.691138006</v>
      </c>
      <c r="AS153" s="2" t="n">
        <v>827394.271887867</v>
      </c>
    </row>
    <row r="154">
      <c r="A154" s="2" t="s">
        <v>1129</v>
      </c>
      <c r="B154" s="2" t="n">
        <v>692.558452301656</v>
      </c>
      <c r="C154" s="2" t="n">
        <v>12.9713166666667</v>
      </c>
      <c r="D154" s="2" t="s">
        <v>59</v>
      </c>
      <c r="E154" s="2" t="s">
        <v>1130</v>
      </c>
      <c r="F154" s="2" t="n">
        <v>25893</v>
      </c>
      <c r="G154" s="5" t="str">
        <f>HYPERLINK("http://funmeta.oebiotech.com/network/25893", "http://funmeta.oebiotech.com/network/25893")</f>
      </c>
      <c r="H154" s="2"/>
      <c r="I154" s="2" t="n">
        <v>82158</v>
      </c>
      <c r="J154" s="2" t="s">
        <v>1131</v>
      </c>
      <c r="K154" s="2"/>
      <c r="L154" s="2"/>
      <c r="M154" s="2"/>
      <c r="N154" s="2"/>
      <c r="O154" s="2" t="n">
        <v>52929575</v>
      </c>
      <c r="P154" s="2"/>
      <c r="Q154" s="2" t="s">
        <v>1132</v>
      </c>
      <c r="R154" s="2" t="s">
        <v>1133</v>
      </c>
      <c r="S154" s="2" t="s">
        <v>66</v>
      </c>
      <c r="T154" s="2" t="s">
        <v>129</v>
      </c>
      <c r="U154" s="2" t="s">
        <v>775</v>
      </c>
      <c r="V154" s="2" t="s">
        <v>54</v>
      </c>
      <c r="W154" s="2" t="n">
        <v>37.9</v>
      </c>
      <c r="X154" s="2" t="n">
        <v>0</v>
      </c>
      <c r="Y154" s="2" t="s">
        <v>70</v>
      </c>
      <c r="Z154" s="2" t="s">
        <v>1134</v>
      </c>
      <c r="AA154" s="2" t="n">
        <v>-0.614655480998248</v>
      </c>
      <c r="AB154" s="2" t="n">
        <v>1.56022859721475</v>
      </c>
      <c r="AC154" s="2" t="n">
        <v>392957.528889759</v>
      </c>
      <c r="AD154" s="2" t="n">
        <v>55707.636557697</v>
      </c>
      <c r="AE154" s="4" t="n">
        <v>7.05392569442017</v>
      </c>
      <c r="AF154" s="4" t="n">
        <v>2.81842637859148</v>
      </c>
      <c r="AG154" s="4" t="s">
        <v>72</v>
      </c>
      <c r="AH154" s="2" t="n">
        <v>0.0342036650039969</v>
      </c>
      <c r="AI154" s="2" t="n">
        <v>0.0828579896334939</v>
      </c>
      <c r="AJ154" s="2" t="n">
        <v>690979.173276971</v>
      </c>
      <c r="AK154" s="2" t="n">
        <v>148395.067121668</v>
      </c>
      <c r="AL154" s="2" t="n">
        <v>113453.336648293</v>
      </c>
      <c r="AM154" s="2" t="n">
        <v>288018.037687156</v>
      </c>
      <c r="AN154" s="2" t="n">
        <v>723942.029714709</v>
      </c>
      <c r="AO154" s="2" t="n">
        <v>40766.7326258234</v>
      </c>
      <c r="AP154" s="2" t="n">
        <v>39046.7471745157</v>
      </c>
      <c r="AQ154" s="2" t="n">
        <v>39353.7248510982</v>
      </c>
      <c r="AR154" s="2" t="n">
        <v>60384.3618897243</v>
      </c>
      <c r="AS154" s="2" t="n">
        <v>98986.6162473234</v>
      </c>
    </row>
    <row r="155">
      <c r="A155" s="2" t="s">
        <v>1135</v>
      </c>
      <c r="B155" s="2" t="n">
        <v>506.104938923255</v>
      </c>
      <c r="C155" s="2" t="n">
        <v>7.93711666666667</v>
      </c>
      <c r="D155" s="2" t="s">
        <v>46</v>
      </c>
      <c r="E155" s="2" t="s">
        <v>1136</v>
      </c>
      <c r="F155" s="2" t="n">
        <v>54219</v>
      </c>
      <c r="G155" s="5" t="str">
        <f>HYPERLINK("http://funmeta.oebiotech.com/network/54219", "http://funmeta.oebiotech.com/network/54219")</f>
      </c>
      <c r="H155" s="2" t="s">
        <v>1137</v>
      </c>
      <c r="I155" s="2" t="n">
        <v>86116</v>
      </c>
      <c r="J155" s="2"/>
      <c r="K155" s="2"/>
      <c r="L155" s="2"/>
      <c r="M155" s="2"/>
      <c r="N155" s="2"/>
      <c r="O155" s="2" t="n">
        <v>131750819</v>
      </c>
      <c r="P155" s="2"/>
      <c r="Q155" s="2" t="s">
        <v>1138</v>
      </c>
      <c r="R155" s="2" t="s">
        <v>1139</v>
      </c>
      <c r="S155" s="2" t="s">
        <v>158</v>
      </c>
      <c r="T155" s="2" t="s">
        <v>411</v>
      </c>
      <c r="U155" s="2" t="s">
        <v>412</v>
      </c>
      <c r="V155" s="2" t="s">
        <v>54</v>
      </c>
      <c r="W155" s="2" t="n">
        <v>37.3</v>
      </c>
      <c r="X155" s="2" t="n">
        <v>0</v>
      </c>
      <c r="Y155" s="2" t="s">
        <v>131</v>
      </c>
      <c r="Z155" s="2" t="s">
        <v>1140</v>
      </c>
      <c r="AA155" s="2" t="n">
        <v>-3.57927859014566</v>
      </c>
      <c r="AB155" s="2" t="n">
        <v>1.55840681395179</v>
      </c>
      <c r="AC155" s="2" t="n">
        <v>9532.4913573207</v>
      </c>
      <c r="AD155" s="2" t="n">
        <v>276549.478202699</v>
      </c>
      <c r="AE155" s="3" t="n">
        <v>0.0344693883325059</v>
      </c>
      <c r="AF155" s="3" t="n">
        <v>-4.85854049180903</v>
      </c>
      <c r="AG155" s="3" t="s">
        <v>57</v>
      </c>
      <c r="AH155" s="2" t="n">
        <v>0.000134878433605072</v>
      </c>
      <c r="AI155" s="2" t="n">
        <v>0.00173030044514934</v>
      </c>
      <c r="AJ155" s="2" t="n">
        <v>26490.4626308499</v>
      </c>
      <c r="AK155" s="2" t="n">
        <v>0.00000136409140715624</v>
      </c>
      <c r="AL155" s="2" t="n">
        <v>14725.5714034255</v>
      </c>
      <c r="AM155" s="2" t="n">
        <v>6446.42274959992</v>
      </c>
      <c r="AN155" s="2" t="n">
        <v>0.00000136409140715624</v>
      </c>
      <c r="AO155" s="2" t="n">
        <v>323853.681003685</v>
      </c>
      <c r="AP155" s="2" t="n">
        <v>399351.245108515</v>
      </c>
      <c r="AQ155" s="2" t="n">
        <v>254600.93663034</v>
      </c>
      <c r="AR155" s="2" t="n">
        <v>176336.001473619</v>
      </c>
      <c r="AS155" s="2" t="n">
        <v>228605.526797336</v>
      </c>
    </row>
    <row r="156">
      <c r="A156" s="2" t="s">
        <v>1141</v>
      </c>
      <c r="B156" s="2" t="n">
        <v>187.107814933583</v>
      </c>
      <c r="C156" s="2" t="n">
        <v>0.764783333333333</v>
      </c>
      <c r="D156" s="2" t="s">
        <v>59</v>
      </c>
      <c r="E156" s="2" t="s">
        <v>1142</v>
      </c>
      <c r="F156" s="2" t="n">
        <v>58046</v>
      </c>
      <c r="G156" s="5" t="str">
        <f>HYPERLINK("http://funmeta.oebiotech.com/network/58046", "http://funmeta.oebiotech.com/network/58046")</f>
      </c>
      <c r="H156" s="2" t="s">
        <v>1143</v>
      </c>
      <c r="I156" s="2" t="n">
        <v>89597</v>
      </c>
      <c r="J156" s="2"/>
      <c r="K156" s="2"/>
      <c r="L156" s="2"/>
      <c r="M156" s="2"/>
      <c r="N156" s="2"/>
      <c r="O156" s="2" t="n">
        <v>87253536</v>
      </c>
      <c r="P156" s="2"/>
      <c r="Q156" s="2" t="s">
        <v>1144</v>
      </c>
      <c r="R156" s="2" t="s">
        <v>1145</v>
      </c>
      <c r="S156" s="2" t="s">
        <v>110</v>
      </c>
      <c r="T156" s="2" t="s">
        <v>111</v>
      </c>
      <c r="U156" s="2" t="s">
        <v>112</v>
      </c>
      <c r="V156" s="2" t="s">
        <v>122</v>
      </c>
      <c r="W156" s="2" t="n">
        <v>55.8</v>
      </c>
      <c r="X156" s="2" t="n">
        <v>0</v>
      </c>
      <c r="Y156" s="2" t="s">
        <v>304</v>
      </c>
      <c r="Z156" s="2" t="s">
        <v>1146</v>
      </c>
      <c r="AA156" s="2" t="n">
        <v>0.471227028342404</v>
      </c>
      <c r="AB156" s="2" t="n">
        <v>1.55752098019835</v>
      </c>
      <c r="AC156" s="2" t="n">
        <v>319012.246850156</v>
      </c>
      <c r="AD156" s="2" t="n">
        <v>655956.510017214</v>
      </c>
      <c r="AE156" s="3" t="n">
        <v>0.486331398466927</v>
      </c>
      <c r="AF156" s="3" t="n">
        <v>-1.03998835720707</v>
      </c>
      <c r="AG156" s="3" t="s">
        <v>57</v>
      </c>
      <c r="AH156" s="2" t="n">
        <v>0.0110436322282303</v>
      </c>
      <c r="AI156" s="2" t="n">
        <v>0.0386937031762505</v>
      </c>
      <c r="AJ156" s="2" t="n">
        <v>460911.400909568</v>
      </c>
      <c r="AK156" s="2" t="n">
        <v>311930.896545612</v>
      </c>
      <c r="AL156" s="2" t="n">
        <v>312597.441872491</v>
      </c>
      <c r="AM156" s="2" t="n">
        <v>320538.908351965</v>
      </c>
      <c r="AN156" s="2" t="n">
        <v>189082.586571145</v>
      </c>
      <c r="AO156" s="2" t="n">
        <v>490186.225645827</v>
      </c>
      <c r="AP156" s="2" t="n">
        <v>522758.806563858</v>
      </c>
      <c r="AQ156" s="2" t="n">
        <v>785308.381860376</v>
      </c>
      <c r="AR156" s="2" t="n">
        <v>521112.795937686</v>
      </c>
      <c r="AS156" s="2" t="n">
        <v>960416.340078322</v>
      </c>
    </row>
    <row r="157">
      <c r="A157" s="2" t="s">
        <v>1147</v>
      </c>
      <c r="B157" s="2" t="n">
        <v>335.060888461239</v>
      </c>
      <c r="C157" s="2" t="n">
        <v>1.27701666666667</v>
      </c>
      <c r="D157" s="2" t="s">
        <v>46</v>
      </c>
      <c r="E157" s="2" t="s">
        <v>1148</v>
      </c>
      <c r="F157" s="2" t="n">
        <v>207224</v>
      </c>
      <c r="G157" s="5" t="str">
        <f>HYPERLINK("http://funmeta.oebiotech.com/network/207224", "http://funmeta.oebiotech.com/network/207224")</f>
      </c>
      <c r="H157" s="2" t="s">
        <v>1149</v>
      </c>
      <c r="I157" s="2"/>
      <c r="J157" s="2"/>
      <c r="K157" s="2"/>
      <c r="L157" s="2"/>
      <c r="M157" s="2"/>
      <c r="N157" s="2"/>
      <c r="O157" s="2"/>
      <c r="P157" s="2"/>
      <c r="Q157" s="2" t="s">
        <v>1150</v>
      </c>
      <c r="R157" s="2" t="s">
        <v>1151</v>
      </c>
      <c r="S157" s="2" t="s">
        <v>77</v>
      </c>
      <c r="T157" s="2" t="s">
        <v>77</v>
      </c>
      <c r="U157" s="2" t="s">
        <v>77</v>
      </c>
      <c r="V157" s="2" t="s">
        <v>69</v>
      </c>
      <c r="W157" s="2" t="n">
        <v>59</v>
      </c>
      <c r="X157" s="2" t="n">
        <v>95.9</v>
      </c>
      <c r="Y157" s="2" t="s">
        <v>438</v>
      </c>
      <c r="Z157" s="2" t="s">
        <v>1152</v>
      </c>
      <c r="AA157" s="2" t="n">
        <v>-3.0965637144753</v>
      </c>
      <c r="AB157" s="2" t="n">
        <v>1.55020727241067</v>
      </c>
      <c r="AC157" s="2" t="n">
        <v>498577.127594358</v>
      </c>
      <c r="AD157" s="2" t="n">
        <v>206878.950249403</v>
      </c>
      <c r="AE157" s="4" t="n">
        <v>2.40999447741444</v>
      </c>
      <c r="AF157" s="4" t="n">
        <v>1.26902984047353</v>
      </c>
      <c r="AG157" s="4" t="s">
        <v>72</v>
      </c>
      <c r="AH157" s="2" t="n">
        <v>0.0360768802006821</v>
      </c>
      <c r="AI157" s="2" t="n">
        <v>0.0855220541974098</v>
      </c>
      <c r="AJ157" s="2" t="n">
        <v>879826.687735682</v>
      </c>
      <c r="AK157" s="2" t="n">
        <v>267765.892364612</v>
      </c>
      <c r="AL157" s="2" t="n">
        <v>266792.792586382</v>
      </c>
      <c r="AM157" s="2" t="n">
        <v>616393.871378841</v>
      </c>
      <c r="AN157" s="2" t="n">
        <v>462106.393906271</v>
      </c>
      <c r="AO157" s="2" t="n">
        <v>178974.110887472</v>
      </c>
      <c r="AP157" s="2" t="n">
        <v>211252.676186907</v>
      </c>
      <c r="AQ157" s="2" t="n">
        <v>197879.56229808</v>
      </c>
      <c r="AR157" s="2" t="n">
        <v>219281.359950982</v>
      </c>
      <c r="AS157" s="2" t="n">
        <v>227007.041923572</v>
      </c>
    </row>
    <row r="158">
      <c r="A158" s="2" t="s">
        <v>1153</v>
      </c>
      <c r="B158" s="2" t="n">
        <v>346.161851328475</v>
      </c>
      <c r="C158" s="2" t="n">
        <v>1.31256666666667</v>
      </c>
      <c r="D158" s="2" t="s">
        <v>46</v>
      </c>
      <c r="E158" s="2" t="s">
        <v>1154</v>
      </c>
      <c r="F158" s="2" t="n">
        <v>263369</v>
      </c>
      <c r="G158" s="5" t="str">
        <f>HYPERLINK("http://funmeta.oebiotech.com/network/263369", "http://funmeta.oebiotech.com/network/263369")</f>
      </c>
      <c r="H158" s="2"/>
      <c r="I158" s="2" t="n">
        <v>20775</v>
      </c>
      <c r="J158" s="2"/>
      <c r="K158" s="2"/>
      <c r="L158" s="2"/>
      <c r="M158" s="2"/>
      <c r="N158" s="2"/>
      <c r="O158" s="2" t="n">
        <v>145455562</v>
      </c>
      <c r="P158" s="2"/>
      <c r="Q158" s="2" t="s">
        <v>1155</v>
      </c>
      <c r="R158" s="2" t="s">
        <v>1156</v>
      </c>
      <c r="S158" s="2" t="s">
        <v>110</v>
      </c>
      <c r="T158" s="2" t="s">
        <v>111</v>
      </c>
      <c r="U158" s="2" t="s">
        <v>112</v>
      </c>
      <c r="V158" s="2" t="s">
        <v>122</v>
      </c>
      <c r="W158" s="2" t="n">
        <v>40.7</v>
      </c>
      <c r="X158" s="2" t="n">
        <v>0</v>
      </c>
      <c r="Y158" s="2" t="s">
        <v>290</v>
      </c>
      <c r="Z158" s="2" t="s">
        <v>1157</v>
      </c>
      <c r="AA158" s="2" t="n">
        <v>-0.352544458986218</v>
      </c>
      <c r="AB158" s="2" t="n">
        <v>1.54598892931893</v>
      </c>
      <c r="AC158" s="2" t="n">
        <v>42024.5561692337</v>
      </c>
      <c r="AD158" s="2" t="n">
        <v>283796.876636551</v>
      </c>
      <c r="AE158" s="3" t="n">
        <v>0.148079699351495</v>
      </c>
      <c r="AF158" s="3" t="n">
        <v>-2.75555422368933</v>
      </c>
      <c r="AG158" s="3" t="s">
        <v>57</v>
      </c>
      <c r="AH158" s="2" t="n">
        <v>0.0000179844044860707</v>
      </c>
      <c r="AI158" s="2" t="n">
        <v>0.000566605431657927</v>
      </c>
      <c r="AJ158" s="2" t="n">
        <v>15840.5288215158</v>
      </c>
      <c r="AK158" s="2" t="n">
        <v>72421.9852134071</v>
      </c>
      <c r="AL158" s="2" t="n">
        <v>83701.3444404383</v>
      </c>
      <c r="AM158" s="2" t="n">
        <v>37218.2452910764</v>
      </c>
      <c r="AN158" s="2" t="n">
        <v>940.677079730973</v>
      </c>
      <c r="AO158" s="2" t="n">
        <v>326748.828775266</v>
      </c>
      <c r="AP158" s="2" t="n">
        <v>291216.094283385</v>
      </c>
      <c r="AQ158" s="2" t="n">
        <v>327552.825037541</v>
      </c>
      <c r="AR158" s="2" t="n">
        <v>214217.013556478</v>
      </c>
      <c r="AS158" s="2" t="n">
        <v>259249.621530085</v>
      </c>
    </row>
    <row r="159">
      <c r="A159" s="2" t="s">
        <v>1158</v>
      </c>
      <c r="B159" s="2" t="n">
        <v>316.15136315039</v>
      </c>
      <c r="C159" s="2" t="n">
        <v>3.63791666666667</v>
      </c>
      <c r="D159" s="2" t="s">
        <v>46</v>
      </c>
      <c r="E159" s="2" t="s">
        <v>1159</v>
      </c>
      <c r="F159" s="2" t="n">
        <v>259248</v>
      </c>
      <c r="G159" s="5" t="str">
        <f>HYPERLINK("http://funmeta.oebiotech.com/network/259248", "http://funmeta.oebiotech.com/network/259248")</f>
      </c>
      <c r="H159" s="2"/>
      <c r="I159" s="2" t="n">
        <v>16450</v>
      </c>
      <c r="J159" s="2"/>
      <c r="K159" s="2"/>
      <c r="L159" s="2"/>
      <c r="M159" s="2"/>
      <c r="N159" s="2"/>
      <c r="O159" s="2" t="n">
        <v>23650674</v>
      </c>
      <c r="P159" s="2"/>
      <c r="Q159" s="2" t="s">
        <v>1160</v>
      </c>
      <c r="R159" s="2" t="s">
        <v>1161</v>
      </c>
      <c r="S159" s="2" t="s">
        <v>110</v>
      </c>
      <c r="T159" s="2" t="s">
        <v>111</v>
      </c>
      <c r="U159" s="2" t="s">
        <v>112</v>
      </c>
      <c r="V159" s="2" t="s">
        <v>122</v>
      </c>
      <c r="W159" s="2" t="n">
        <v>46.9</v>
      </c>
      <c r="X159" s="2" t="n">
        <v>0</v>
      </c>
      <c r="Y159" s="2" t="s">
        <v>290</v>
      </c>
      <c r="Z159" s="2" t="s">
        <v>350</v>
      </c>
      <c r="AA159" s="2" t="n">
        <v>-0.144681455075874</v>
      </c>
      <c r="AB159" s="2" t="n">
        <v>1.54282620593059</v>
      </c>
      <c r="AC159" s="2" t="n">
        <v>76699.7381058889</v>
      </c>
      <c r="AD159" s="2" t="n">
        <v>324424.94253518</v>
      </c>
      <c r="AE159" s="3" t="n">
        <v>0.236417513112672</v>
      </c>
      <c r="AF159" s="3" t="n">
        <v>-2.08059118481624</v>
      </c>
      <c r="AG159" s="3" t="s">
        <v>57</v>
      </c>
      <c r="AH159" s="2" t="n">
        <v>0.0000172580041439617</v>
      </c>
      <c r="AI159" s="2" t="n">
        <v>0.000556416753332457</v>
      </c>
      <c r="AJ159" s="2" t="n">
        <v>56154.0338626238</v>
      </c>
      <c r="AK159" s="2" t="n">
        <v>102977.135973951</v>
      </c>
      <c r="AL159" s="2" t="n">
        <v>145609.3432643</v>
      </c>
      <c r="AM159" s="2" t="n">
        <v>70830.1880691883</v>
      </c>
      <c r="AN159" s="2" t="n">
        <v>7927.98935938145</v>
      </c>
      <c r="AO159" s="2" t="n">
        <v>366395.685013281</v>
      </c>
      <c r="AP159" s="2" t="n">
        <v>324473.696431169</v>
      </c>
      <c r="AQ159" s="2" t="n">
        <v>344766.280920235</v>
      </c>
      <c r="AR159" s="2" t="n">
        <v>285587.698366324</v>
      </c>
      <c r="AS159" s="2" t="n">
        <v>300901.351944891</v>
      </c>
    </row>
    <row r="160">
      <c r="A160" s="2" t="s">
        <v>1162</v>
      </c>
      <c r="B160" s="2" t="n">
        <v>376.171557312203</v>
      </c>
      <c r="C160" s="2" t="n">
        <v>3.60746666666667</v>
      </c>
      <c r="D160" s="2" t="s">
        <v>59</v>
      </c>
      <c r="E160" s="2" t="s">
        <v>1163</v>
      </c>
      <c r="F160" s="2" t="n">
        <v>261006</v>
      </c>
      <c r="G160" s="5" t="str">
        <f>HYPERLINK("http://funmeta.oebiotech.com/network/261006", "http://funmeta.oebiotech.com/network/261006")</f>
      </c>
      <c r="H160" s="2"/>
      <c r="I160" s="2" t="n">
        <v>18303</v>
      </c>
      <c r="J160" s="2"/>
      <c r="K160" s="2"/>
      <c r="L160" s="2"/>
      <c r="M160" s="2"/>
      <c r="N160" s="2"/>
      <c r="O160" s="2" t="n">
        <v>471575</v>
      </c>
      <c r="P160" s="2"/>
      <c r="Q160" s="2" t="s">
        <v>1164</v>
      </c>
      <c r="R160" s="2" t="s">
        <v>1165</v>
      </c>
      <c r="S160" s="2" t="s">
        <v>110</v>
      </c>
      <c r="T160" s="2" t="s">
        <v>111</v>
      </c>
      <c r="U160" s="2" t="s">
        <v>112</v>
      </c>
      <c r="V160" s="2" t="s">
        <v>92</v>
      </c>
      <c r="W160" s="2" t="n">
        <v>52.8</v>
      </c>
      <c r="X160" s="2" t="n">
        <v>61.9</v>
      </c>
      <c r="Y160" s="2" t="s">
        <v>248</v>
      </c>
      <c r="Z160" s="2" t="s">
        <v>769</v>
      </c>
      <c r="AA160" s="2" t="n">
        <v>0.309484709885493</v>
      </c>
      <c r="AB160" s="2" t="n">
        <v>1.54193476295722</v>
      </c>
      <c r="AC160" s="2" t="n">
        <v>101707.836393731</v>
      </c>
      <c r="AD160" s="2" t="n">
        <v>368316.774762144</v>
      </c>
      <c r="AE160" s="3" t="n">
        <v>0.276142286648262</v>
      </c>
      <c r="AF160" s="3" t="n">
        <v>-1.85651626503304</v>
      </c>
      <c r="AG160" s="3" t="s">
        <v>57</v>
      </c>
      <c r="AH160" s="2" t="n">
        <v>0.000394185461123794</v>
      </c>
      <c r="AI160" s="2" t="n">
        <v>0.00358128186385339</v>
      </c>
      <c r="AJ160" s="2" t="n">
        <v>30175.1314548578</v>
      </c>
      <c r="AK160" s="2" t="n">
        <v>190776.543004244</v>
      </c>
      <c r="AL160" s="2" t="n">
        <v>214254.85952791</v>
      </c>
      <c r="AM160" s="2" t="n">
        <v>70069.0510055584</v>
      </c>
      <c r="AN160" s="2" t="n">
        <v>3263.59697608618</v>
      </c>
      <c r="AO160" s="2" t="n">
        <v>417955.683251785</v>
      </c>
      <c r="AP160" s="2" t="n">
        <v>359327.044153053</v>
      </c>
      <c r="AQ160" s="2" t="n">
        <v>328471.401057852</v>
      </c>
      <c r="AR160" s="2" t="n">
        <v>394067.177121145</v>
      </c>
      <c r="AS160" s="2" t="n">
        <v>341762.568226887</v>
      </c>
    </row>
    <row r="161">
      <c r="A161" s="2" t="s">
        <v>1166</v>
      </c>
      <c r="B161" s="2" t="n">
        <v>346.233955345649</v>
      </c>
      <c r="C161" s="2" t="n">
        <v>3.89303333333333</v>
      </c>
      <c r="D161" s="2" t="s">
        <v>59</v>
      </c>
      <c r="E161" s="2" t="s">
        <v>1167</v>
      </c>
      <c r="F161" s="2" t="n">
        <v>263474</v>
      </c>
      <c r="G161" s="5" t="str">
        <f>HYPERLINK("http://funmeta.oebiotech.com/network/263474", "http://funmeta.oebiotech.com/network/263474")</f>
      </c>
      <c r="H161" s="2"/>
      <c r="I161" s="2" t="n">
        <v>20887</v>
      </c>
      <c r="J161" s="2"/>
      <c r="K161" s="2"/>
      <c r="L161" s="2"/>
      <c r="M161" s="2"/>
      <c r="N161" s="2"/>
      <c r="O161" s="2" t="n">
        <v>145456184</v>
      </c>
      <c r="P161" s="2"/>
      <c r="Q161" s="2" t="s">
        <v>1168</v>
      </c>
      <c r="R161" s="2" t="s">
        <v>1169</v>
      </c>
      <c r="S161" s="2" t="s">
        <v>110</v>
      </c>
      <c r="T161" s="2" t="s">
        <v>111</v>
      </c>
      <c r="U161" s="2" t="s">
        <v>112</v>
      </c>
      <c r="V161" s="2" t="s">
        <v>122</v>
      </c>
      <c r="W161" s="2" t="n">
        <v>49.9</v>
      </c>
      <c r="X161" s="2" t="n">
        <v>37.5</v>
      </c>
      <c r="Y161" s="2" t="s">
        <v>248</v>
      </c>
      <c r="Z161" s="2" t="s">
        <v>1170</v>
      </c>
      <c r="AA161" s="2" t="n">
        <v>0.89160998320342</v>
      </c>
      <c r="AB161" s="2" t="n">
        <v>1.53741368964173</v>
      </c>
      <c r="AC161" s="2" t="n">
        <v>80580.3181696101</v>
      </c>
      <c r="AD161" s="2" t="n">
        <v>335135.713582568</v>
      </c>
      <c r="AE161" s="3" t="n">
        <v>0.240440856953782</v>
      </c>
      <c r="AF161" s="3" t="n">
        <v>-2.05624602780549</v>
      </c>
      <c r="AG161" s="3" t="s">
        <v>57</v>
      </c>
      <c r="AH161" s="2" t="n">
        <v>0.000232312111950533</v>
      </c>
      <c r="AI161" s="2" t="n">
        <v>0.00246138312315044</v>
      </c>
      <c r="AJ161" s="2" t="n">
        <v>9511.21260682382</v>
      </c>
      <c r="AK161" s="2" t="n">
        <v>194611.232161019</v>
      </c>
      <c r="AL161" s="2" t="n">
        <v>147173.428501511</v>
      </c>
      <c r="AM161" s="2" t="n">
        <v>51402.7741715377</v>
      </c>
      <c r="AN161" s="2" t="n">
        <v>202.943407158758</v>
      </c>
      <c r="AO161" s="2" t="n">
        <v>374347.635601877</v>
      </c>
      <c r="AP161" s="2" t="n">
        <v>346330.092275327</v>
      </c>
      <c r="AQ161" s="2" t="n">
        <v>332436.264767964</v>
      </c>
      <c r="AR161" s="2" t="n">
        <v>307808.821600137</v>
      </c>
      <c r="AS161" s="2" t="n">
        <v>314755.753667536</v>
      </c>
    </row>
    <row r="162">
      <c r="A162" s="2" t="s">
        <v>1171</v>
      </c>
      <c r="B162" s="2" t="n">
        <v>376.171759298591</v>
      </c>
      <c r="C162" s="2" t="n">
        <v>2.6625</v>
      </c>
      <c r="D162" s="2" t="s">
        <v>59</v>
      </c>
      <c r="E162" s="2" t="s">
        <v>1172</v>
      </c>
      <c r="F162" s="2" t="n">
        <v>265666</v>
      </c>
      <c r="G162" s="5" t="str">
        <f>HYPERLINK("http://funmeta.oebiotech.com/network/265666", "http://funmeta.oebiotech.com/network/265666")</f>
      </c>
      <c r="H162" s="2"/>
      <c r="I162" s="2" t="n">
        <v>23169</v>
      </c>
      <c r="J162" s="2"/>
      <c r="K162" s="2"/>
      <c r="L162" s="2"/>
      <c r="M162" s="2"/>
      <c r="N162" s="2"/>
      <c r="O162" s="2" t="n">
        <v>145455404</v>
      </c>
      <c r="P162" s="2"/>
      <c r="Q162" s="2" t="s">
        <v>1173</v>
      </c>
      <c r="R162" s="2" t="s">
        <v>1174</v>
      </c>
      <c r="S162" s="2" t="s">
        <v>110</v>
      </c>
      <c r="T162" s="2" t="s">
        <v>580</v>
      </c>
      <c r="U162" s="2" t="s">
        <v>581</v>
      </c>
      <c r="V162" s="2" t="s">
        <v>122</v>
      </c>
      <c r="W162" s="2" t="n">
        <v>41.7</v>
      </c>
      <c r="X162" s="2" t="n">
        <v>0</v>
      </c>
      <c r="Y162" s="2" t="s">
        <v>332</v>
      </c>
      <c r="Z162" s="2" t="s">
        <v>769</v>
      </c>
      <c r="AA162" s="2" t="n">
        <v>0.847879384421135</v>
      </c>
      <c r="AB162" s="2" t="n">
        <v>1.53400133042286</v>
      </c>
      <c r="AC162" s="2" t="n">
        <v>137851.260441246</v>
      </c>
      <c r="AD162" s="2" t="n">
        <v>389946.94739498</v>
      </c>
      <c r="AE162" s="3" t="n">
        <v>0.353512859536801</v>
      </c>
      <c r="AF162" s="3" t="n">
        <v>-1.50016539879885</v>
      </c>
      <c r="AG162" s="3" t="s">
        <v>57</v>
      </c>
      <c r="AH162" s="2" t="n">
        <v>0.0000067253807975019</v>
      </c>
      <c r="AI162" s="2" t="n">
        <v>0.000433084961245727</v>
      </c>
      <c r="AJ162" s="2" t="n">
        <v>187672.917152526</v>
      </c>
      <c r="AK162" s="2" t="n">
        <v>129841.871389635</v>
      </c>
      <c r="AL162" s="2" t="n">
        <v>164936.685492114</v>
      </c>
      <c r="AM162" s="2" t="n">
        <v>124442.600203443</v>
      </c>
      <c r="AN162" s="2" t="n">
        <v>82362.2279685121</v>
      </c>
      <c r="AO162" s="2" t="n">
        <v>413961.467390287</v>
      </c>
      <c r="AP162" s="2" t="n">
        <v>372951.492074791</v>
      </c>
      <c r="AQ162" s="2" t="n">
        <v>398614.855093008</v>
      </c>
      <c r="AR162" s="2" t="n">
        <v>335514.627209901</v>
      </c>
      <c r="AS162" s="2" t="n">
        <v>428692.295206913</v>
      </c>
    </row>
    <row r="163">
      <c r="A163" s="2" t="s">
        <v>1175</v>
      </c>
      <c r="B163" s="2" t="n">
        <v>309.109121560936</v>
      </c>
      <c r="C163" s="2" t="n">
        <v>1.11313333333333</v>
      </c>
      <c r="D163" s="2" t="s">
        <v>46</v>
      </c>
      <c r="E163" s="2" t="s">
        <v>1176</v>
      </c>
      <c r="F163" s="2" t="n">
        <v>51509</v>
      </c>
      <c r="G163" s="5" t="str">
        <f>HYPERLINK("http://funmeta.oebiotech.com/network/51509", "http://funmeta.oebiotech.com/network/51509")</f>
      </c>
      <c r="H163" s="2" t="s">
        <v>1177</v>
      </c>
      <c r="I163" s="2" t="n">
        <v>62426</v>
      </c>
      <c r="J163" s="2"/>
      <c r="K163" s="2" t="n">
        <v>82969</v>
      </c>
      <c r="L163" s="2" t="s">
        <v>1178</v>
      </c>
      <c r="M163" s="2" t="s">
        <v>1179</v>
      </c>
      <c r="N163" s="2" t="s">
        <v>1180</v>
      </c>
      <c r="O163" s="2" t="n">
        <v>94340</v>
      </c>
      <c r="P163" s="2" t="s">
        <v>1181</v>
      </c>
      <c r="Q163" s="2" t="s">
        <v>1182</v>
      </c>
      <c r="R163" s="2" t="s">
        <v>1183</v>
      </c>
      <c r="S163" s="2" t="s">
        <v>110</v>
      </c>
      <c r="T163" s="2" t="s">
        <v>111</v>
      </c>
      <c r="U163" s="2" t="s">
        <v>112</v>
      </c>
      <c r="V163" s="2" t="s">
        <v>69</v>
      </c>
      <c r="W163" s="2" t="n">
        <v>52.9</v>
      </c>
      <c r="X163" s="2" t="n">
        <v>67.9</v>
      </c>
      <c r="Y163" s="2" t="s">
        <v>290</v>
      </c>
      <c r="Z163" s="2" t="s">
        <v>1184</v>
      </c>
      <c r="AA163" s="2" t="n">
        <v>-0.28476810439355</v>
      </c>
      <c r="AB163" s="2" t="n">
        <v>1.53125383912445</v>
      </c>
      <c r="AC163" s="2" t="n">
        <v>73598.1054293454</v>
      </c>
      <c r="AD163" s="2" t="n">
        <v>327499.102213643</v>
      </c>
      <c r="AE163" s="3" t="n">
        <v>0.224727655532118</v>
      </c>
      <c r="AF163" s="3" t="n">
        <v>-2.15375041788207</v>
      </c>
      <c r="AG163" s="3" t="s">
        <v>57</v>
      </c>
      <c r="AH163" s="2" t="n">
        <v>0.000280223221397621</v>
      </c>
      <c r="AI163" s="2" t="n">
        <v>0.0027865201632561</v>
      </c>
      <c r="AJ163" s="2" t="n">
        <v>30397.5363098976</v>
      </c>
      <c r="AK163" s="2" t="n">
        <v>122015.983366246</v>
      </c>
      <c r="AL163" s="2" t="n">
        <v>153779.504053097</v>
      </c>
      <c r="AM163" s="2" t="n">
        <v>60203.3866138822</v>
      </c>
      <c r="AN163" s="2" t="n">
        <v>1594.11680360432</v>
      </c>
      <c r="AO163" s="2" t="n">
        <v>257198.12873598</v>
      </c>
      <c r="AP163" s="2" t="n">
        <v>343346.561938227</v>
      </c>
      <c r="AQ163" s="2" t="n">
        <v>408217.305025471</v>
      </c>
      <c r="AR163" s="2" t="n">
        <v>258422.827464166</v>
      </c>
      <c r="AS163" s="2" t="n">
        <v>370310.687904372</v>
      </c>
    </row>
    <row r="164">
      <c r="A164" s="2" t="s">
        <v>1185</v>
      </c>
      <c r="B164" s="2" t="n">
        <v>259.201501793024</v>
      </c>
      <c r="C164" s="2" t="n">
        <v>4.96148333333333</v>
      </c>
      <c r="D164" s="2" t="s">
        <v>59</v>
      </c>
      <c r="E164" s="2" t="s">
        <v>1186</v>
      </c>
      <c r="F164" s="2" t="n">
        <v>203225</v>
      </c>
      <c r="G164" s="5" t="str">
        <f>HYPERLINK("http://funmeta.oebiotech.com/network/203225", "http://funmeta.oebiotech.com/network/203225")</f>
      </c>
      <c r="H164" s="2" t="s">
        <v>1187</v>
      </c>
      <c r="I164" s="2"/>
      <c r="J164" s="2"/>
      <c r="K164" s="2"/>
      <c r="L164" s="2"/>
      <c r="M164" s="2"/>
      <c r="N164" s="2"/>
      <c r="O164" s="2" t="n">
        <v>5159380</v>
      </c>
      <c r="P164" s="2"/>
      <c r="Q164" s="2" t="s">
        <v>1188</v>
      </c>
      <c r="R164" s="2" t="s">
        <v>1189</v>
      </c>
      <c r="S164" s="2" t="s">
        <v>110</v>
      </c>
      <c r="T164" s="2" t="s">
        <v>111</v>
      </c>
      <c r="U164" s="2" t="s">
        <v>112</v>
      </c>
      <c r="V164" s="2" t="s">
        <v>54</v>
      </c>
      <c r="W164" s="2" t="n">
        <v>47.4</v>
      </c>
      <c r="X164" s="2" t="n">
        <v>39.9</v>
      </c>
      <c r="Y164" s="2" t="s">
        <v>332</v>
      </c>
      <c r="Z164" s="2" t="s">
        <v>1190</v>
      </c>
      <c r="AA164" s="2" t="n">
        <v>-0.454468036060319</v>
      </c>
      <c r="AB164" s="2" t="n">
        <v>1.52999601006072</v>
      </c>
      <c r="AC164" s="2" t="n">
        <v>94440.0945905126</v>
      </c>
      <c r="AD164" s="2" t="n">
        <v>354595.160114046</v>
      </c>
      <c r="AE164" s="3" t="n">
        <v>0.266332159074418</v>
      </c>
      <c r="AF164" s="3" t="n">
        <v>-1.90870145328599</v>
      </c>
      <c r="AG164" s="3" t="s">
        <v>57</v>
      </c>
      <c r="AH164" s="2" t="n">
        <v>0.00105944119681044</v>
      </c>
      <c r="AI164" s="2" t="n">
        <v>0.00700240120977784</v>
      </c>
      <c r="AJ164" s="2" t="n">
        <v>55126.9231191772</v>
      </c>
      <c r="AK164" s="2" t="n">
        <v>161524.452229238</v>
      </c>
      <c r="AL164" s="2" t="n">
        <v>194497.163201611</v>
      </c>
      <c r="AM164" s="2" t="n">
        <v>58114.5010696895</v>
      </c>
      <c r="AN164" s="2" t="n">
        <v>2937.43333284748</v>
      </c>
      <c r="AO164" s="2" t="n">
        <v>344120.324293395</v>
      </c>
      <c r="AP164" s="2" t="n">
        <v>319698.004650061</v>
      </c>
      <c r="AQ164" s="2" t="n">
        <v>502474.249247269</v>
      </c>
      <c r="AR164" s="2" t="n">
        <v>298140.427329303</v>
      </c>
      <c r="AS164" s="2" t="n">
        <v>308542.7950502</v>
      </c>
    </row>
    <row r="165">
      <c r="A165" s="2" t="s">
        <v>1191</v>
      </c>
      <c r="B165" s="2" t="n">
        <v>378.112029923733</v>
      </c>
      <c r="C165" s="2" t="n">
        <v>6.79996666666667</v>
      </c>
      <c r="D165" s="2" t="s">
        <v>46</v>
      </c>
      <c r="E165" s="2" t="s">
        <v>1192</v>
      </c>
      <c r="F165" s="2" t="n">
        <v>209904</v>
      </c>
      <c r="G165" s="5" t="str">
        <f>HYPERLINK("http://funmeta.oebiotech.com/network/209904", "http://funmeta.oebiotech.com/network/209904")</f>
      </c>
      <c r="H165" s="2" t="s">
        <v>1193</v>
      </c>
      <c r="I165" s="2"/>
      <c r="J165" s="2"/>
      <c r="K165" s="2"/>
      <c r="L165" s="2"/>
      <c r="M165" s="2"/>
      <c r="N165" s="2"/>
      <c r="O165" s="2"/>
      <c r="P165" s="2"/>
      <c r="Q165" s="2" t="s">
        <v>1194</v>
      </c>
      <c r="R165" s="2" t="s">
        <v>1195</v>
      </c>
      <c r="S165" s="2" t="s">
        <v>77</v>
      </c>
      <c r="T165" s="2" t="s">
        <v>77</v>
      </c>
      <c r="U165" s="2" t="s">
        <v>77</v>
      </c>
      <c r="V165" s="2" t="s">
        <v>54</v>
      </c>
      <c r="W165" s="2" t="n">
        <v>37.1</v>
      </c>
      <c r="X165" s="2" t="n">
        <v>0</v>
      </c>
      <c r="Y165" s="2" t="s">
        <v>131</v>
      </c>
      <c r="Z165" s="2" t="s">
        <v>1196</v>
      </c>
      <c r="AA165" s="2" t="n">
        <v>4.03115474813818</v>
      </c>
      <c r="AB165" s="2" t="n">
        <v>1.52954887240122</v>
      </c>
      <c r="AC165" s="2" t="n">
        <v>272841.285560607</v>
      </c>
      <c r="AD165" s="2" t="n">
        <v>12228.4159961745</v>
      </c>
      <c r="AE165" s="4" t="n">
        <v>22.312070970268</v>
      </c>
      <c r="AF165" s="4" t="n">
        <v>4.47975252330002</v>
      </c>
      <c r="AG165" s="4" t="s">
        <v>72</v>
      </c>
      <c r="AH165" s="2" t="n">
        <v>0.0141423210473167</v>
      </c>
      <c r="AI165" s="2" t="n">
        <v>0.045510159987521</v>
      </c>
      <c r="AJ165" s="2" t="n">
        <v>497720.653772836</v>
      </c>
      <c r="AK165" s="2" t="n">
        <v>197476.42574397</v>
      </c>
      <c r="AL165" s="2" t="n">
        <v>219546.192169065</v>
      </c>
      <c r="AM165" s="2" t="n">
        <v>417528.104197403</v>
      </c>
      <c r="AN165" s="2" t="n">
        <v>31935.0519197609</v>
      </c>
      <c r="AO165" s="2" t="n">
        <v>5553.91166829204</v>
      </c>
      <c r="AP165" s="2" t="n">
        <v>15637.2336371378</v>
      </c>
      <c r="AQ165" s="2" t="n">
        <v>0.00000136409140715624</v>
      </c>
      <c r="AR165" s="2" t="n">
        <v>39950.9346727146</v>
      </c>
      <c r="AS165" s="2" t="n">
        <v>0.00000136409140715624</v>
      </c>
    </row>
    <row r="166">
      <c r="A166" s="2" t="s">
        <v>1197</v>
      </c>
      <c r="B166" s="2" t="n">
        <v>274.104324035968</v>
      </c>
      <c r="C166" s="2" t="n">
        <v>0.7213</v>
      </c>
      <c r="D166" s="2" t="s">
        <v>46</v>
      </c>
      <c r="E166" s="2" t="s">
        <v>1198</v>
      </c>
      <c r="F166" s="2" t="n">
        <v>51507</v>
      </c>
      <c r="G166" s="5" t="str">
        <f>HYPERLINK("http://funmeta.oebiotech.com/network/51507", "http://funmeta.oebiotech.com/network/51507")</f>
      </c>
      <c r="H166" s="2" t="s">
        <v>1199</v>
      </c>
      <c r="I166" s="2" t="n">
        <v>62461</v>
      </c>
      <c r="J166" s="2"/>
      <c r="K166" s="2" t="n">
        <v>73707</v>
      </c>
      <c r="L166" s="2" t="s">
        <v>1200</v>
      </c>
      <c r="M166" s="2"/>
      <c r="N166" s="2"/>
      <c r="O166" s="2" t="n">
        <v>150914</v>
      </c>
      <c r="P166" s="2" t="s">
        <v>1201</v>
      </c>
      <c r="Q166" s="2" t="s">
        <v>1202</v>
      </c>
      <c r="R166" s="2" t="s">
        <v>1203</v>
      </c>
      <c r="S166" s="2" t="s">
        <v>110</v>
      </c>
      <c r="T166" s="2" t="s">
        <v>111</v>
      </c>
      <c r="U166" s="2" t="s">
        <v>112</v>
      </c>
      <c r="V166" s="2" t="s">
        <v>92</v>
      </c>
      <c r="W166" s="2" t="n">
        <v>63.5</v>
      </c>
      <c r="X166" s="2" t="n">
        <v>52.5</v>
      </c>
      <c r="Y166" s="2" t="s">
        <v>290</v>
      </c>
      <c r="Z166" s="2" t="s">
        <v>1204</v>
      </c>
      <c r="AA166" s="2" t="n">
        <v>-0.490015380190086</v>
      </c>
      <c r="AB166" s="2" t="n">
        <v>1.51433602391027</v>
      </c>
      <c r="AC166" s="2" t="n">
        <v>104853.374673402</v>
      </c>
      <c r="AD166" s="2" t="n">
        <v>349086.929580084</v>
      </c>
      <c r="AE166" s="3" t="n">
        <v>0.300364653582216</v>
      </c>
      <c r="AF166" s="3" t="n">
        <v>-1.73521304602314</v>
      </c>
      <c r="AG166" s="3" t="s">
        <v>57</v>
      </c>
      <c r="AH166" s="2" t="n">
        <v>0.0000153879970300323</v>
      </c>
      <c r="AI166" s="2" t="n">
        <v>0.000555465006747042</v>
      </c>
      <c r="AJ166" s="2" t="n">
        <v>106936.931528689</v>
      </c>
      <c r="AK166" s="2" t="n">
        <v>120113.87540908</v>
      </c>
      <c r="AL166" s="2" t="n">
        <v>127631.073065447</v>
      </c>
      <c r="AM166" s="2" t="n">
        <v>138827.079944995</v>
      </c>
      <c r="AN166" s="2" t="n">
        <v>30757.9134187965</v>
      </c>
      <c r="AO166" s="2" t="n">
        <v>333593.652497074</v>
      </c>
      <c r="AP166" s="2" t="n">
        <v>340392.357836471</v>
      </c>
      <c r="AQ166" s="2" t="n">
        <v>354655.225122906</v>
      </c>
      <c r="AR166" s="2" t="n">
        <v>303245.909563432</v>
      </c>
      <c r="AS166" s="2" t="n">
        <v>413547.502880537</v>
      </c>
    </row>
    <row r="167">
      <c r="A167" s="2" t="s">
        <v>1205</v>
      </c>
      <c r="B167" s="2" t="n">
        <v>459.2815532135</v>
      </c>
      <c r="C167" s="2" t="n">
        <v>4.2789</v>
      </c>
      <c r="D167" s="2" t="s">
        <v>59</v>
      </c>
      <c r="E167" s="2" t="s">
        <v>1206</v>
      </c>
      <c r="F167" s="2" t="n">
        <v>45306</v>
      </c>
      <c r="G167" s="5" t="str">
        <f>HYPERLINK("http://funmeta.oebiotech.com/network/45306", "http://funmeta.oebiotech.com/network/45306")</f>
      </c>
      <c r="H167" s="2"/>
      <c r="I167" s="2" t="n">
        <v>42073</v>
      </c>
      <c r="J167" s="2" t="s">
        <v>1207</v>
      </c>
      <c r="K167" s="2"/>
      <c r="L167" s="2"/>
      <c r="M167" s="2"/>
      <c r="N167" s="2"/>
      <c r="O167" s="2" t="n">
        <v>9547379</v>
      </c>
      <c r="P167" s="2"/>
      <c r="Q167" s="2" t="s">
        <v>1208</v>
      </c>
      <c r="R167" s="2" t="s">
        <v>1209</v>
      </c>
      <c r="S167" s="2" t="s">
        <v>66</v>
      </c>
      <c r="T167" s="2" t="s">
        <v>1210</v>
      </c>
      <c r="U167" s="2" t="s">
        <v>1211</v>
      </c>
      <c r="V167" s="2" t="s">
        <v>54</v>
      </c>
      <c r="W167" s="2" t="n">
        <v>39.4</v>
      </c>
      <c r="X167" s="2" t="n">
        <v>8.61</v>
      </c>
      <c r="Y167" s="2" t="s">
        <v>267</v>
      </c>
      <c r="Z167" s="2" t="s">
        <v>1212</v>
      </c>
      <c r="AA167" s="2" t="n">
        <v>-4.70420453131211</v>
      </c>
      <c r="AB167" s="2" t="n">
        <v>1.51262139145185</v>
      </c>
      <c r="AC167" s="2" t="n">
        <v>152229.985332629</v>
      </c>
      <c r="AD167" s="2" t="n">
        <v>406673.228598692</v>
      </c>
      <c r="AE167" s="3" t="n">
        <v>0.37432998935578</v>
      </c>
      <c r="AF167" s="3" t="n">
        <v>-1.4176174608581</v>
      </c>
      <c r="AG167" s="3" t="s">
        <v>57</v>
      </c>
      <c r="AH167" s="2" t="n">
        <v>0.00110777976572588</v>
      </c>
      <c r="AI167" s="2" t="n">
        <v>0.0072289414556277</v>
      </c>
      <c r="AJ167" s="2" t="n">
        <v>68474.9052804647</v>
      </c>
      <c r="AK167" s="2" t="n">
        <v>236585.164275739</v>
      </c>
      <c r="AL167" s="2" t="n">
        <v>269905.922586435</v>
      </c>
      <c r="AM167" s="2" t="n">
        <v>160784.214248584</v>
      </c>
      <c r="AN167" s="2" t="n">
        <v>25399.7202719231</v>
      </c>
      <c r="AO167" s="2" t="n">
        <v>477876.87804645</v>
      </c>
      <c r="AP167" s="2" t="n">
        <v>392206.945532115</v>
      </c>
      <c r="AQ167" s="2" t="n">
        <v>421486.906924362</v>
      </c>
      <c r="AR167" s="2" t="n">
        <v>385888.157087231</v>
      </c>
      <c r="AS167" s="2" t="n">
        <v>355907.255403302</v>
      </c>
    </row>
    <row r="168">
      <c r="A168" s="2" t="s">
        <v>1213</v>
      </c>
      <c r="B168" s="2" t="n">
        <v>358.198520360389</v>
      </c>
      <c r="C168" s="2" t="n">
        <v>4.51065</v>
      </c>
      <c r="D168" s="2" t="s">
        <v>46</v>
      </c>
      <c r="E168" s="2" t="s">
        <v>1214</v>
      </c>
      <c r="F168" s="2" t="n">
        <v>259023</v>
      </c>
      <c r="G168" s="5" t="str">
        <f>HYPERLINK("http://funmeta.oebiotech.com/network/259023", "http://funmeta.oebiotech.com/network/259023")</f>
      </c>
      <c r="H168" s="2"/>
      <c r="I168" s="2" t="n">
        <v>16220</v>
      </c>
      <c r="J168" s="2"/>
      <c r="K168" s="2"/>
      <c r="L168" s="2"/>
      <c r="M168" s="2"/>
      <c r="N168" s="2"/>
      <c r="O168" s="2" t="n">
        <v>145456083</v>
      </c>
      <c r="P168" s="2"/>
      <c r="Q168" s="2" t="s">
        <v>1215</v>
      </c>
      <c r="R168" s="2" t="s">
        <v>1216</v>
      </c>
      <c r="S168" s="2" t="s">
        <v>110</v>
      </c>
      <c r="T168" s="2" t="s">
        <v>580</v>
      </c>
      <c r="U168" s="2" t="s">
        <v>581</v>
      </c>
      <c r="V168" s="2" t="s">
        <v>122</v>
      </c>
      <c r="W168" s="2" t="n">
        <v>48.1</v>
      </c>
      <c r="X168" s="2" t="n">
        <v>0</v>
      </c>
      <c r="Y168" s="2" t="s">
        <v>290</v>
      </c>
      <c r="Z168" s="2" t="s">
        <v>688</v>
      </c>
      <c r="AA168" s="2" t="n">
        <v>0.448574808644527</v>
      </c>
      <c r="AB168" s="2" t="n">
        <v>1.50401582028898</v>
      </c>
      <c r="AC168" s="2" t="n">
        <v>47509.9647929062</v>
      </c>
      <c r="AD168" s="2" t="n">
        <v>278018.712731303</v>
      </c>
      <c r="AE168" s="3" t="n">
        <v>0.170887651144631</v>
      </c>
      <c r="AF168" s="3" t="n">
        <v>-2.54887994758713</v>
      </c>
      <c r="AG168" s="3" t="s">
        <v>57</v>
      </c>
      <c r="AH168" s="2" t="n">
        <v>0.0000234001879265137</v>
      </c>
      <c r="AI168" s="2" t="n">
        <v>0.000659255294468125</v>
      </c>
      <c r="AJ168" s="2" t="n">
        <v>10098.33200371</v>
      </c>
      <c r="AK168" s="2" t="n">
        <v>86974.635949496</v>
      </c>
      <c r="AL168" s="2" t="n">
        <v>105601.156728553</v>
      </c>
      <c r="AM168" s="2" t="n">
        <v>33178.3935523817</v>
      </c>
      <c r="AN168" s="2" t="n">
        <v>1697.30573039034</v>
      </c>
      <c r="AO168" s="2" t="n">
        <v>301076.691541115</v>
      </c>
      <c r="AP168" s="2" t="n">
        <v>227651.132478213</v>
      </c>
      <c r="AQ168" s="2" t="n">
        <v>319813.781846221</v>
      </c>
      <c r="AR168" s="2" t="n">
        <v>256192.878640537</v>
      </c>
      <c r="AS168" s="2" t="n">
        <v>285359.07915043</v>
      </c>
    </row>
    <row r="169">
      <c r="A169" s="2" t="s">
        <v>1217</v>
      </c>
      <c r="B169" s="2" t="n">
        <v>233.149779426793</v>
      </c>
      <c r="C169" s="2" t="n">
        <v>4.11326666666667</v>
      </c>
      <c r="D169" s="2" t="s">
        <v>59</v>
      </c>
      <c r="E169" s="2" t="s">
        <v>1218</v>
      </c>
      <c r="F169" s="2" t="n">
        <v>52174</v>
      </c>
      <c r="G169" s="5" t="str">
        <f>HYPERLINK("http://funmeta.oebiotech.com/network/52174", "http://funmeta.oebiotech.com/network/52174")</f>
      </c>
      <c r="H169" s="2" t="s">
        <v>1219</v>
      </c>
      <c r="I169" s="2"/>
      <c r="J169" s="2"/>
      <c r="K169" s="2"/>
      <c r="L169" s="2"/>
      <c r="M169" s="2"/>
      <c r="N169" s="2"/>
      <c r="O169" s="2" t="n">
        <v>167029</v>
      </c>
      <c r="P169" s="2" t="s">
        <v>1220</v>
      </c>
      <c r="Q169" s="2" t="s">
        <v>1221</v>
      </c>
      <c r="R169" s="2" t="s">
        <v>1222</v>
      </c>
      <c r="S169" s="2" t="s">
        <v>110</v>
      </c>
      <c r="T169" s="2" t="s">
        <v>111</v>
      </c>
      <c r="U169" s="2" t="s">
        <v>112</v>
      </c>
      <c r="V169" s="2" t="s">
        <v>122</v>
      </c>
      <c r="W169" s="2" t="n">
        <v>46.4</v>
      </c>
      <c r="X169" s="2" t="n">
        <v>21.8</v>
      </c>
      <c r="Y169" s="2" t="s">
        <v>332</v>
      </c>
      <c r="Z169" s="2" t="s">
        <v>420</v>
      </c>
      <c r="AA169" s="2" t="n">
        <v>0.843730534780218</v>
      </c>
      <c r="AB169" s="2" t="n">
        <v>1.49853665492846</v>
      </c>
      <c r="AC169" s="2" t="n">
        <v>59570.7440251412</v>
      </c>
      <c r="AD169" s="2" t="n">
        <v>336021.592421263</v>
      </c>
      <c r="AE169" s="3" t="n">
        <v>0.177282488294558</v>
      </c>
      <c r="AF169" s="3" t="n">
        <v>-2.49587805892336</v>
      </c>
      <c r="AG169" s="3" t="s">
        <v>57</v>
      </c>
      <c r="AH169" s="2" t="n">
        <v>0.0113103138937445</v>
      </c>
      <c r="AI169" s="2" t="n">
        <v>0.0392412311529559</v>
      </c>
      <c r="AJ169" s="2" t="n">
        <v>42518.3113195944</v>
      </c>
      <c r="AK169" s="2" t="n">
        <v>98154.5680247489</v>
      </c>
      <c r="AL169" s="2" t="n">
        <v>102873.103325535</v>
      </c>
      <c r="AM169" s="2" t="n">
        <v>40848.186926145</v>
      </c>
      <c r="AN169" s="2" t="n">
        <v>13459.5505296826</v>
      </c>
      <c r="AO169" s="2" t="n">
        <v>235405.6498017</v>
      </c>
      <c r="AP169" s="2" t="n">
        <v>213551.824359007</v>
      </c>
      <c r="AQ169" s="2" t="n">
        <v>402033.898964109</v>
      </c>
      <c r="AR169" s="2" t="n">
        <v>196887.233927825</v>
      </c>
      <c r="AS169" s="2" t="n">
        <v>632229.355053674</v>
      </c>
    </row>
    <row r="170">
      <c r="A170" s="2" t="s">
        <v>1223</v>
      </c>
      <c r="B170" s="2" t="n">
        <v>201.123582084981</v>
      </c>
      <c r="C170" s="2" t="n">
        <v>1.34918333333333</v>
      </c>
      <c r="D170" s="2" t="s">
        <v>46</v>
      </c>
      <c r="E170" s="2" t="s">
        <v>1224</v>
      </c>
      <c r="F170" s="2" t="n">
        <v>53945</v>
      </c>
      <c r="G170" s="5" t="str">
        <f>HYPERLINK("http://funmeta.oebiotech.com/network/53945", "http://funmeta.oebiotech.com/network/53945")</f>
      </c>
      <c r="H170" s="2" t="s">
        <v>1225</v>
      </c>
      <c r="I170" s="2"/>
      <c r="J170" s="2"/>
      <c r="K170" s="2" t="n">
        <v>73527</v>
      </c>
      <c r="L170" s="2"/>
      <c r="M170" s="2"/>
      <c r="N170" s="2"/>
      <c r="O170" s="2" t="n">
        <v>81721</v>
      </c>
      <c r="P170" s="2" t="s">
        <v>1226</v>
      </c>
      <c r="Q170" s="2" t="s">
        <v>1227</v>
      </c>
      <c r="R170" s="2" t="s">
        <v>1228</v>
      </c>
      <c r="S170" s="2" t="s">
        <v>110</v>
      </c>
      <c r="T170" s="2" t="s">
        <v>111</v>
      </c>
      <c r="U170" s="2" t="s">
        <v>112</v>
      </c>
      <c r="V170" s="2" t="s">
        <v>69</v>
      </c>
      <c r="W170" s="2" t="n">
        <v>47.6</v>
      </c>
      <c r="X170" s="2" t="n">
        <v>53</v>
      </c>
      <c r="Y170" s="2" t="s">
        <v>55</v>
      </c>
      <c r="Z170" s="2" t="s">
        <v>520</v>
      </c>
      <c r="AA170" s="2" t="n">
        <v>-4.37303190426651</v>
      </c>
      <c r="AB170" s="2" t="n">
        <v>1.49129483746774</v>
      </c>
      <c r="AC170" s="2" t="n">
        <v>94553.0040767874</v>
      </c>
      <c r="AD170" s="2" t="n">
        <v>391092.050498689</v>
      </c>
      <c r="AE170" s="3" t="n">
        <v>0.241766622349447</v>
      </c>
      <c r="AF170" s="3" t="n">
        <v>-2.04831301115544</v>
      </c>
      <c r="AG170" s="3" t="s">
        <v>57</v>
      </c>
      <c r="AH170" s="2" t="n">
        <v>0.0166263325047034</v>
      </c>
      <c r="AI170" s="2" t="n">
        <v>0.0508774456801891</v>
      </c>
      <c r="AJ170" s="2" t="n">
        <v>72997.0969908196</v>
      </c>
      <c r="AK170" s="2" t="n">
        <v>151807.781228907</v>
      </c>
      <c r="AL170" s="2" t="n">
        <v>157512.716743631</v>
      </c>
      <c r="AM170" s="2" t="n">
        <v>71144.0273556633</v>
      </c>
      <c r="AN170" s="2" t="n">
        <v>19303.398064916</v>
      </c>
      <c r="AO170" s="2" t="n">
        <v>168390.110926141</v>
      </c>
      <c r="AP170" s="2" t="n">
        <v>315275.262159719</v>
      </c>
      <c r="AQ170" s="2" t="n">
        <v>512041.699381329</v>
      </c>
      <c r="AR170" s="2" t="n">
        <v>263641.696528795</v>
      </c>
      <c r="AS170" s="2" t="n">
        <v>696111.483497459</v>
      </c>
    </row>
    <row r="171">
      <c r="A171" s="2" t="s">
        <v>1229</v>
      </c>
      <c r="B171" s="2" t="n">
        <v>308.117369366689</v>
      </c>
      <c r="C171" s="2" t="n">
        <v>3.8081</v>
      </c>
      <c r="D171" s="2" t="s">
        <v>46</v>
      </c>
      <c r="E171" s="2" t="s">
        <v>1230</v>
      </c>
      <c r="F171" s="2" t="n">
        <v>204245</v>
      </c>
      <c r="G171" s="5" t="str">
        <f>HYPERLINK("http://funmeta.oebiotech.com/network/204245", "http://funmeta.oebiotech.com/network/204245")</f>
      </c>
      <c r="H171" s="2" t="s">
        <v>1231</v>
      </c>
      <c r="I171" s="2" t="n">
        <v>3187</v>
      </c>
      <c r="J171" s="2"/>
      <c r="K171" s="2"/>
      <c r="L171" s="2"/>
      <c r="M171" s="2"/>
      <c r="N171" s="2"/>
      <c r="O171" s="2" t="n">
        <v>122672</v>
      </c>
      <c r="P171" s="2" t="s">
        <v>1232</v>
      </c>
      <c r="Q171" s="2" t="s">
        <v>1233</v>
      </c>
      <c r="R171" s="2" t="s">
        <v>1234</v>
      </c>
      <c r="S171" s="2" t="s">
        <v>51</v>
      </c>
      <c r="T171" s="2" t="s">
        <v>227</v>
      </c>
      <c r="U171" s="2" t="s">
        <v>228</v>
      </c>
      <c r="V171" s="2" t="s">
        <v>54</v>
      </c>
      <c r="W171" s="2" t="n">
        <v>37.7</v>
      </c>
      <c r="X171" s="2" t="n">
        <v>0</v>
      </c>
      <c r="Y171" s="2" t="s">
        <v>131</v>
      </c>
      <c r="Z171" s="2" t="s">
        <v>1235</v>
      </c>
      <c r="AA171" s="2" t="n">
        <v>0.91671486262885</v>
      </c>
      <c r="AB171" s="2" t="n">
        <v>1.49115189482933</v>
      </c>
      <c r="AC171" s="2" t="n">
        <v>5825.82084164804</v>
      </c>
      <c r="AD171" s="2" t="n">
        <v>271031.130200368</v>
      </c>
      <c r="AE171" s="3" t="n">
        <v>0.0214950247129956</v>
      </c>
      <c r="AF171" s="3" t="n">
        <v>-5.53985342077495</v>
      </c>
      <c r="AG171" s="3" t="s">
        <v>57</v>
      </c>
      <c r="AH171" s="2" t="n">
        <v>0.00515195600791759</v>
      </c>
      <c r="AI171" s="2" t="n">
        <v>0.0227237999422653</v>
      </c>
      <c r="AJ171" s="2" t="n">
        <v>3071.44807197367</v>
      </c>
      <c r="AK171" s="2" t="n">
        <v>2623.49862923119</v>
      </c>
      <c r="AL171" s="2" t="n">
        <v>17763.4006413876</v>
      </c>
      <c r="AM171" s="2" t="n">
        <v>5421.2173517992</v>
      </c>
      <c r="AN171" s="2" t="n">
        <v>249.539513848531</v>
      </c>
      <c r="AO171" s="2" t="n">
        <v>192012.768043443</v>
      </c>
      <c r="AP171" s="2" t="n">
        <v>258795.42020205</v>
      </c>
      <c r="AQ171" s="2" t="n">
        <v>247114.268222768</v>
      </c>
      <c r="AR171" s="2" t="n">
        <v>124850.509376139</v>
      </c>
      <c r="AS171" s="2" t="n">
        <v>532382.685157439</v>
      </c>
    </row>
    <row r="172">
      <c r="A172" s="2" t="s">
        <v>1236</v>
      </c>
      <c r="B172" s="2" t="n">
        <v>348.17669447323</v>
      </c>
      <c r="C172" s="2" t="n">
        <v>2.06415</v>
      </c>
      <c r="D172" s="2" t="s">
        <v>59</v>
      </c>
      <c r="E172" s="2" t="s">
        <v>1237</v>
      </c>
      <c r="F172" s="2" t="n">
        <v>265369</v>
      </c>
      <c r="G172" s="5" t="str">
        <f>HYPERLINK("http://funmeta.oebiotech.com/network/265369", "http://funmeta.oebiotech.com/network/265369")</f>
      </c>
      <c r="H172" s="2"/>
      <c r="I172" s="2" t="n">
        <v>22857</v>
      </c>
      <c r="J172" s="2"/>
      <c r="K172" s="2"/>
      <c r="L172" s="2"/>
      <c r="M172" s="2"/>
      <c r="N172" s="2"/>
      <c r="O172" s="2" t="n">
        <v>145455520</v>
      </c>
      <c r="P172" s="2"/>
      <c r="Q172" s="2" t="s">
        <v>1238</v>
      </c>
      <c r="R172" s="2" t="s">
        <v>1239</v>
      </c>
      <c r="S172" s="2" t="s">
        <v>110</v>
      </c>
      <c r="T172" s="2" t="s">
        <v>111</v>
      </c>
      <c r="U172" s="2" t="s">
        <v>112</v>
      </c>
      <c r="V172" s="2" t="s">
        <v>92</v>
      </c>
      <c r="W172" s="2" t="n">
        <v>54.7</v>
      </c>
      <c r="X172" s="2" t="n">
        <v>47.2</v>
      </c>
      <c r="Y172" s="2" t="s">
        <v>248</v>
      </c>
      <c r="Z172" s="2" t="s">
        <v>1157</v>
      </c>
      <c r="AA172" s="2" t="n">
        <v>0.483591678417897</v>
      </c>
      <c r="AB172" s="2" t="n">
        <v>1.48898561540356</v>
      </c>
      <c r="AC172" s="2" t="n">
        <v>68947.9409374086</v>
      </c>
      <c r="AD172" s="2" t="n">
        <v>299632.067126444</v>
      </c>
      <c r="AE172" s="3" t="n">
        <v>0.230108684956983</v>
      </c>
      <c r="AF172" s="3" t="n">
        <v>-2.11961265887897</v>
      </c>
      <c r="AG172" s="3" t="s">
        <v>57</v>
      </c>
      <c r="AH172" s="2" t="n">
        <v>0.0000324319888595247</v>
      </c>
      <c r="AI172" s="2" t="n">
        <v>0.000757177110425557</v>
      </c>
      <c r="AJ172" s="2" t="n">
        <v>38017.2529499616</v>
      </c>
      <c r="AK172" s="2" t="n">
        <v>118386.591537829</v>
      </c>
      <c r="AL172" s="2" t="n">
        <v>120498.738352666</v>
      </c>
      <c r="AM172" s="2" t="n">
        <v>65968.0369535297</v>
      </c>
      <c r="AN172" s="2" t="n">
        <v>1869.08489305655</v>
      </c>
      <c r="AO172" s="2" t="n">
        <v>291174.591840688</v>
      </c>
      <c r="AP172" s="2" t="n">
        <v>289896.55909948</v>
      </c>
      <c r="AQ172" s="2" t="n">
        <v>344646.801580605</v>
      </c>
      <c r="AR172" s="2" t="n">
        <v>253081.929915019</v>
      </c>
      <c r="AS172" s="2" t="n">
        <v>319360.453196427</v>
      </c>
    </row>
    <row r="173">
      <c r="A173" s="2" t="s">
        <v>1240</v>
      </c>
      <c r="B173" s="2" t="n">
        <v>346.105606673897</v>
      </c>
      <c r="C173" s="2" t="n">
        <v>6.94768333333333</v>
      </c>
      <c r="D173" s="2" t="s">
        <v>59</v>
      </c>
      <c r="E173" s="2" t="s">
        <v>1241</v>
      </c>
      <c r="F173" s="2" t="n">
        <v>61951</v>
      </c>
      <c r="G173" s="5" t="str">
        <f>HYPERLINK("http://funmeta.oebiotech.com/network/61951", "http://funmeta.oebiotech.com/network/61951")</f>
      </c>
      <c r="H173" s="2" t="s">
        <v>1242</v>
      </c>
      <c r="I173" s="2" t="n">
        <v>93249</v>
      </c>
      <c r="J173" s="2"/>
      <c r="K173" s="2" t="n">
        <v>174939</v>
      </c>
      <c r="L173" s="2"/>
      <c r="M173" s="2"/>
      <c r="N173" s="2"/>
      <c r="O173" s="2" t="n">
        <v>131752402</v>
      </c>
      <c r="P173" s="2" t="s">
        <v>1243</v>
      </c>
      <c r="Q173" s="2" t="s">
        <v>1244</v>
      </c>
      <c r="R173" s="2" t="s">
        <v>1245</v>
      </c>
      <c r="S173" s="2" t="s">
        <v>51</v>
      </c>
      <c r="T173" s="2" t="s">
        <v>1041</v>
      </c>
      <c r="U173" s="2" t="s">
        <v>1042</v>
      </c>
      <c r="V173" s="2" t="s">
        <v>54</v>
      </c>
      <c r="W173" s="2" t="n">
        <v>39.2</v>
      </c>
      <c r="X173" s="2" t="n">
        <v>1.55</v>
      </c>
      <c r="Y173" s="2" t="s">
        <v>267</v>
      </c>
      <c r="Z173" s="2" t="s">
        <v>1246</v>
      </c>
      <c r="AA173" s="2" t="n">
        <v>1.54917878146874</v>
      </c>
      <c r="AB173" s="2" t="n">
        <v>1.4773577087231</v>
      </c>
      <c r="AC173" s="2" t="n">
        <v>285410.336935473</v>
      </c>
      <c r="AD173" s="2" t="n">
        <v>677579.533802128</v>
      </c>
      <c r="AE173" s="3" t="n">
        <v>0.421220421658751</v>
      </c>
      <c r="AF173" s="3" t="n">
        <v>-1.247352711915</v>
      </c>
      <c r="AG173" s="3" t="s">
        <v>57</v>
      </c>
      <c r="AH173" s="2" t="n">
        <v>0.0427789090881242</v>
      </c>
      <c r="AI173" s="2" t="n">
        <v>0.0951725160426758</v>
      </c>
      <c r="AJ173" s="2" t="n">
        <v>648579.099508511</v>
      </c>
      <c r="AK173" s="2" t="n">
        <v>24935.5071589225</v>
      </c>
      <c r="AL173" s="2" t="n">
        <v>151368.86197575</v>
      </c>
      <c r="AM173" s="2" t="n">
        <v>519825.320437588</v>
      </c>
      <c r="AN173" s="2" t="n">
        <v>82342.8955965909</v>
      </c>
      <c r="AO173" s="2" t="n">
        <v>646471.032016636</v>
      </c>
      <c r="AP173" s="2" t="n">
        <v>978066.441764737</v>
      </c>
      <c r="AQ173" s="2" t="n">
        <v>727555.352340219</v>
      </c>
      <c r="AR173" s="2" t="n">
        <v>327189.986408453</v>
      </c>
      <c r="AS173" s="2" t="n">
        <v>708614.856480597</v>
      </c>
    </row>
    <row r="174">
      <c r="A174" s="2" t="s">
        <v>1247</v>
      </c>
      <c r="B174" s="2" t="n">
        <v>417.234402563877</v>
      </c>
      <c r="C174" s="2" t="n">
        <v>4.2973</v>
      </c>
      <c r="D174" s="2" t="s">
        <v>59</v>
      </c>
      <c r="E174" s="2" t="s">
        <v>1248</v>
      </c>
      <c r="F174" s="2" t="n">
        <v>205886</v>
      </c>
      <c r="G174" s="5" t="str">
        <f>HYPERLINK("http://funmeta.oebiotech.com/network/205886", "http://funmeta.oebiotech.com/network/205886")</f>
      </c>
      <c r="H174" s="2" t="s">
        <v>1249</v>
      </c>
      <c r="I174" s="2"/>
      <c r="J174" s="2"/>
      <c r="K174" s="2"/>
      <c r="L174" s="2"/>
      <c r="M174" s="2"/>
      <c r="N174" s="2"/>
      <c r="O174" s="2"/>
      <c r="P174" s="2"/>
      <c r="Q174" s="2" t="s">
        <v>1250</v>
      </c>
      <c r="R174" s="2" t="s">
        <v>1251</v>
      </c>
      <c r="S174" s="2" t="s">
        <v>77</v>
      </c>
      <c r="T174" s="2" t="s">
        <v>77</v>
      </c>
      <c r="U174" s="2" t="s">
        <v>77</v>
      </c>
      <c r="V174" s="2" t="s">
        <v>54</v>
      </c>
      <c r="W174" s="2" t="n">
        <v>40.5</v>
      </c>
      <c r="X174" s="2" t="n">
        <v>11</v>
      </c>
      <c r="Y174" s="2" t="s">
        <v>267</v>
      </c>
      <c r="Z174" s="2" t="s">
        <v>1252</v>
      </c>
      <c r="AA174" s="2" t="n">
        <v>-4.6063604943946</v>
      </c>
      <c r="AB174" s="2" t="n">
        <v>1.47385725264672</v>
      </c>
      <c r="AC174" s="2" t="n">
        <v>147702.676013833</v>
      </c>
      <c r="AD174" s="2" t="n">
        <v>394943.795892534</v>
      </c>
      <c r="AE174" s="3" t="n">
        <v>0.373984039121414</v>
      </c>
      <c r="AF174" s="3" t="n">
        <v>-1.41895139475238</v>
      </c>
      <c r="AG174" s="3" t="s">
        <v>57</v>
      </c>
      <c r="AH174" s="2" t="n">
        <v>0.000454784183745837</v>
      </c>
      <c r="AI174" s="2" t="n">
        <v>0.00391916958345678</v>
      </c>
      <c r="AJ174" s="2" t="n">
        <v>114765.559779716</v>
      </c>
      <c r="AK174" s="2" t="n">
        <v>207545.964892163</v>
      </c>
      <c r="AL174" s="2" t="n">
        <v>264997.024529964</v>
      </c>
      <c r="AM174" s="2" t="n">
        <v>134714.683138208</v>
      </c>
      <c r="AN174" s="2" t="n">
        <v>16490.1477291144</v>
      </c>
      <c r="AO174" s="2" t="n">
        <v>423506.939193296</v>
      </c>
      <c r="AP174" s="2" t="n">
        <v>363529.386238639</v>
      </c>
      <c r="AQ174" s="2" t="n">
        <v>392035.450541301</v>
      </c>
      <c r="AR174" s="2" t="n">
        <v>396854.053104168</v>
      </c>
      <c r="AS174" s="2" t="n">
        <v>398793.150385267</v>
      </c>
    </row>
    <row r="175">
      <c r="A175" s="2" t="s">
        <v>1253</v>
      </c>
      <c r="B175" s="2" t="n">
        <v>302.207810888753</v>
      </c>
      <c r="C175" s="2" t="n">
        <v>3.51968333333333</v>
      </c>
      <c r="D175" s="2" t="s">
        <v>59</v>
      </c>
      <c r="E175" s="2" t="s">
        <v>1254</v>
      </c>
      <c r="F175" s="2" t="n">
        <v>260206</v>
      </c>
      <c r="G175" s="5" t="str">
        <f>HYPERLINK("http://funmeta.oebiotech.com/network/260206", "http://funmeta.oebiotech.com/network/260206")</f>
      </c>
      <c r="H175" s="2"/>
      <c r="I175" s="2" t="n">
        <v>17451</v>
      </c>
      <c r="J175" s="2"/>
      <c r="K175" s="2"/>
      <c r="L175" s="2"/>
      <c r="M175" s="2"/>
      <c r="N175" s="2"/>
      <c r="O175" s="2" t="n">
        <v>11781595</v>
      </c>
      <c r="P175" s="2"/>
      <c r="Q175" s="2" t="s">
        <v>1255</v>
      </c>
      <c r="R175" s="2" t="s">
        <v>1256</v>
      </c>
      <c r="S175" s="2" t="s">
        <v>110</v>
      </c>
      <c r="T175" s="2" t="s">
        <v>111</v>
      </c>
      <c r="U175" s="2" t="s">
        <v>112</v>
      </c>
      <c r="V175" s="2" t="s">
        <v>92</v>
      </c>
      <c r="W175" s="2" t="n">
        <v>58.9</v>
      </c>
      <c r="X175" s="2" t="n">
        <v>87</v>
      </c>
      <c r="Y175" s="2" t="s">
        <v>332</v>
      </c>
      <c r="Z175" s="2" t="s">
        <v>870</v>
      </c>
      <c r="AA175" s="2" t="n">
        <v>1.25530553245922</v>
      </c>
      <c r="AB175" s="2" t="n">
        <v>1.4648353953404</v>
      </c>
      <c r="AC175" s="2" t="n">
        <v>23688.0679576549</v>
      </c>
      <c r="AD175" s="2" t="n">
        <v>244394.431234986</v>
      </c>
      <c r="AE175" s="3" t="n">
        <v>0.0969255634752114</v>
      </c>
      <c r="AF175" s="3" t="n">
        <v>-3.36697897268937</v>
      </c>
      <c r="AG175" s="3" t="s">
        <v>57</v>
      </c>
      <c r="AH175" s="2" t="n">
        <v>0.000135878856598695</v>
      </c>
      <c r="AI175" s="2" t="n">
        <v>0.00173474967248007</v>
      </c>
      <c r="AJ175" s="2" t="n">
        <v>6063.45993379335</v>
      </c>
      <c r="AK175" s="2" t="n">
        <v>52619.843929324</v>
      </c>
      <c r="AL175" s="2" t="n">
        <v>45088.7831341828</v>
      </c>
      <c r="AM175" s="2" t="n">
        <v>14159.4357172386</v>
      </c>
      <c r="AN175" s="2" t="n">
        <v>508.817073735527</v>
      </c>
      <c r="AO175" s="2" t="n">
        <v>222894.038032895</v>
      </c>
      <c r="AP175" s="2" t="n">
        <v>204174.307459387</v>
      </c>
      <c r="AQ175" s="2" t="n">
        <v>337706.240218742</v>
      </c>
      <c r="AR175" s="2" t="n">
        <v>167512.730739131</v>
      </c>
      <c r="AS175" s="2" t="n">
        <v>289684.839724776</v>
      </c>
    </row>
    <row r="176">
      <c r="A176" s="2" t="s">
        <v>1257</v>
      </c>
      <c r="B176" s="2" t="n">
        <v>376.171592994755</v>
      </c>
      <c r="C176" s="2" t="n">
        <v>2.08216666666667</v>
      </c>
      <c r="D176" s="2" t="s">
        <v>59</v>
      </c>
      <c r="E176" s="2" t="s">
        <v>1258</v>
      </c>
      <c r="F176" s="2" t="n">
        <v>47379</v>
      </c>
      <c r="G176" s="5" t="str">
        <f>HYPERLINK("http://funmeta.oebiotech.com/network/47379", "http://funmeta.oebiotech.com/network/47379")</f>
      </c>
      <c r="H176" s="2" t="s">
        <v>1259</v>
      </c>
      <c r="I176" s="2" t="n">
        <v>5981</v>
      </c>
      <c r="J176" s="2"/>
      <c r="K176" s="2" t="n">
        <v>91804</v>
      </c>
      <c r="L176" s="2"/>
      <c r="M176" s="2"/>
      <c r="N176" s="2"/>
      <c r="O176" s="2" t="n">
        <v>1585</v>
      </c>
      <c r="P176" s="2" t="s">
        <v>1260</v>
      </c>
      <c r="Q176" s="2" t="s">
        <v>1261</v>
      </c>
      <c r="R176" s="2" t="s">
        <v>1262</v>
      </c>
      <c r="S176" s="2" t="s">
        <v>360</v>
      </c>
      <c r="T176" s="2" t="s">
        <v>361</v>
      </c>
      <c r="U176" s="2" t="s">
        <v>77</v>
      </c>
      <c r="V176" s="2" t="s">
        <v>54</v>
      </c>
      <c r="W176" s="2" t="n">
        <v>43.7</v>
      </c>
      <c r="X176" s="2" t="n">
        <v>29.9</v>
      </c>
      <c r="Y176" s="2" t="s">
        <v>70</v>
      </c>
      <c r="Z176" s="2" t="s">
        <v>1263</v>
      </c>
      <c r="AA176" s="2" t="n">
        <v>-3.31050151109469</v>
      </c>
      <c r="AB176" s="2" t="n">
        <v>1.45772352043082</v>
      </c>
      <c r="AC176" s="2" t="n">
        <v>187568.405495473</v>
      </c>
      <c r="AD176" s="2" t="n">
        <v>441271.173586361</v>
      </c>
      <c r="AE176" s="3" t="n">
        <v>0.425063808204467</v>
      </c>
      <c r="AF176" s="3" t="n">
        <v>-1.23424866805971</v>
      </c>
      <c r="AG176" s="3" t="s">
        <v>57</v>
      </c>
      <c r="AH176" s="2" t="n">
        <v>0.00114806938666314</v>
      </c>
      <c r="AI176" s="2" t="n">
        <v>0.00740119538596923</v>
      </c>
      <c r="AJ176" s="2" t="n">
        <v>151875.276732457</v>
      </c>
      <c r="AK176" s="2" t="n">
        <v>283025.652955712</v>
      </c>
      <c r="AL176" s="2" t="n">
        <v>267611.408962093</v>
      </c>
      <c r="AM176" s="2" t="n">
        <v>202981.539586342</v>
      </c>
      <c r="AN176" s="2" t="n">
        <v>32348.1492407602</v>
      </c>
      <c r="AO176" s="2" t="n">
        <v>378843.974508572</v>
      </c>
      <c r="AP176" s="2" t="n">
        <v>441536.412834434</v>
      </c>
      <c r="AQ176" s="2" t="n">
        <v>451585.43157813</v>
      </c>
      <c r="AR176" s="2" t="n">
        <v>410305.640496986</v>
      </c>
      <c r="AS176" s="2" t="n">
        <v>524084.408513682</v>
      </c>
    </row>
    <row r="177">
      <c r="A177" s="2" t="s">
        <v>1264</v>
      </c>
      <c r="B177" s="2" t="n">
        <v>403.219101918483</v>
      </c>
      <c r="C177" s="2" t="n">
        <v>3.8374</v>
      </c>
      <c r="D177" s="2" t="s">
        <v>59</v>
      </c>
      <c r="E177" s="2" t="s">
        <v>1265</v>
      </c>
      <c r="F177" s="2" t="n">
        <v>53331</v>
      </c>
      <c r="G177" s="5" t="str">
        <f>HYPERLINK("http://funmeta.oebiotech.com/network/53331", "http://funmeta.oebiotech.com/network/53331")</f>
      </c>
      <c r="H177" s="2" t="s">
        <v>1266</v>
      </c>
      <c r="I177" s="2" t="n">
        <v>85467</v>
      </c>
      <c r="J177" s="2"/>
      <c r="K177" s="2" t="n">
        <v>654467</v>
      </c>
      <c r="L177" s="2"/>
      <c r="M177" s="2"/>
      <c r="N177" s="2"/>
      <c r="O177" s="2" t="n">
        <v>54385</v>
      </c>
      <c r="P177" s="2" t="s">
        <v>1267</v>
      </c>
      <c r="Q177" s="2" t="s">
        <v>1268</v>
      </c>
      <c r="R177" s="2" t="s">
        <v>1269</v>
      </c>
      <c r="S177" s="2" t="s">
        <v>51</v>
      </c>
      <c r="T177" s="2" t="s">
        <v>1270</v>
      </c>
      <c r="U177" s="2" t="s">
        <v>1271</v>
      </c>
      <c r="V177" s="2" t="s">
        <v>54</v>
      </c>
      <c r="W177" s="2" t="n">
        <v>40.9</v>
      </c>
      <c r="X177" s="2" t="n">
        <v>19.7</v>
      </c>
      <c r="Y177" s="2" t="s">
        <v>93</v>
      </c>
      <c r="Z177" s="2" t="s">
        <v>1272</v>
      </c>
      <c r="AA177" s="2" t="n">
        <v>2.57904517486966</v>
      </c>
      <c r="AB177" s="2" t="n">
        <v>1.45658729249476</v>
      </c>
      <c r="AC177" s="2" t="n">
        <v>99673.6857067312</v>
      </c>
      <c r="AD177" s="2" t="n">
        <v>327205.118047322</v>
      </c>
      <c r="AE177" s="3" t="n">
        <v>0.304621413936184</v>
      </c>
      <c r="AF177" s="3" t="n">
        <v>-1.71491073253148</v>
      </c>
      <c r="AG177" s="3" t="s">
        <v>57</v>
      </c>
      <c r="AH177" s="2" t="n">
        <v>0.000232697312325144</v>
      </c>
      <c r="AI177" s="2" t="n">
        <v>0.00246138312315044</v>
      </c>
      <c r="AJ177" s="2" t="n">
        <v>50904.4201585158</v>
      </c>
      <c r="AK177" s="2" t="n">
        <v>177535.063851658</v>
      </c>
      <c r="AL177" s="2" t="n">
        <v>164857.044148293</v>
      </c>
      <c r="AM177" s="2" t="n">
        <v>96818.9702675056</v>
      </c>
      <c r="AN177" s="2" t="n">
        <v>8252.93010768379</v>
      </c>
      <c r="AO177" s="2" t="n">
        <v>337325.264106289</v>
      </c>
      <c r="AP177" s="2" t="n">
        <v>296797.568609759</v>
      </c>
      <c r="AQ177" s="2" t="n">
        <v>383371.490387307</v>
      </c>
      <c r="AR177" s="2" t="n">
        <v>299177.706657151</v>
      </c>
      <c r="AS177" s="2" t="n">
        <v>319353.560476102</v>
      </c>
    </row>
    <row r="178">
      <c r="A178" s="2" t="s">
        <v>1273</v>
      </c>
      <c r="B178" s="2" t="n">
        <v>154.06081635416</v>
      </c>
      <c r="C178" s="2" t="n">
        <v>0.667816666666667</v>
      </c>
      <c r="D178" s="2" t="s">
        <v>46</v>
      </c>
      <c r="E178" s="2" t="s">
        <v>1274</v>
      </c>
      <c r="F178" s="2" t="n">
        <v>46913</v>
      </c>
      <c r="G178" s="5" t="str">
        <f>HYPERLINK("http://funmeta.oebiotech.com/network/46913", "http://funmeta.oebiotech.com/network/46913")</f>
      </c>
      <c r="H178" s="2" t="s">
        <v>1275</v>
      </c>
      <c r="I178" s="2" t="n">
        <v>21</v>
      </c>
      <c r="J178" s="2"/>
      <c r="K178" s="2" t="n">
        <v>15971</v>
      </c>
      <c r="L178" s="2" t="s">
        <v>1276</v>
      </c>
      <c r="M178" s="2" t="s">
        <v>1277</v>
      </c>
      <c r="N178" s="2" t="s">
        <v>1278</v>
      </c>
      <c r="O178" s="2" t="n">
        <v>6274</v>
      </c>
      <c r="P178" s="2" t="s">
        <v>1279</v>
      </c>
      <c r="Q178" s="2" t="s">
        <v>1280</v>
      </c>
      <c r="R178" s="2" t="s">
        <v>1281</v>
      </c>
      <c r="S178" s="2" t="s">
        <v>110</v>
      </c>
      <c r="T178" s="2" t="s">
        <v>111</v>
      </c>
      <c r="U178" s="2" t="s">
        <v>112</v>
      </c>
      <c r="V178" s="2" t="s">
        <v>92</v>
      </c>
      <c r="W178" s="2" t="n">
        <v>54.6</v>
      </c>
      <c r="X178" s="2" t="n">
        <v>70.8</v>
      </c>
      <c r="Y178" s="2" t="s">
        <v>290</v>
      </c>
      <c r="Z178" s="2" t="s">
        <v>1282</v>
      </c>
      <c r="AA178" s="2" t="n">
        <v>-8.92345818985086</v>
      </c>
      <c r="AB178" s="2" t="n">
        <v>1.45467899324028</v>
      </c>
      <c r="AC178" s="2" t="n">
        <v>119110.237616225</v>
      </c>
      <c r="AD178" s="2" t="n">
        <v>346899.527734682</v>
      </c>
      <c r="AE178" s="3" t="n">
        <v>0.343356586254347</v>
      </c>
      <c r="AF178" s="3" t="n">
        <v>-1.54222045728003</v>
      </c>
      <c r="AG178" s="3" t="s">
        <v>57</v>
      </c>
      <c r="AH178" s="2" t="n">
        <v>0.0000250333498313996</v>
      </c>
      <c r="AI178" s="2" t="n">
        <v>0.000681289626455021</v>
      </c>
      <c r="AJ178" s="2" t="n">
        <v>110990.354123965</v>
      </c>
      <c r="AK178" s="2" t="n">
        <v>135300.897944313</v>
      </c>
      <c r="AL178" s="2" t="n">
        <v>141513.703522541</v>
      </c>
      <c r="AM178" s="2" t="n">
        <v>135542.210937889</v>
      </c>
      <c r="AN178" s="2" t="n">
        <v>72204.0215524195</v>
      </c>
      <c r="AO178" s="2" t="n">
        <v>389134.121209542</v>
      </c>
      <c r="AP178" s="2" t="n">
        <v>402344.965639312</v>
      </c>
      <c r="AQ178" s="2" t="n">
        <v>349866.527770161</v>
      </c>
      <c r="AR178" s="2" t="n">
        <v>314962.826134509</v>
      </c>
      <c r="AS178" s="2" t="n">
        <v>278189.197919884</v>
      </c>
    </row>
    <row r="179">
      <c r="A179" s="2" t="s">
        <v>1283</v>
      </c>
      <c r="B179" s="2" t="n">
        <v>429.235414094996</v>
      </c>
      <c r="C179" s="2" t="n">
        <v>4.28165</v>
      </c>
      <c r="D179" s="2" t="s">
        <v>46</v>
      </c>
      <c r="E179" s="2" t="s">
        <v>1284</v>
      </c>
      <c r="F179" s="2" t="n">
        <v>209626</v>
      </c>
      <c r="G179" s="5" t="str">
        <f>HYPERLINK("http://funmeta.oebiotech.com/network/209626", "http://funmeta.oebiotech.com/network/209626")</f>
      </c>
      <c r="H179" s="2" t="s">
        <v>1285</v>
      </c>
      <c r="I179" s="2"/>
      <c r="J179" s="2"/>
      <c r="K179" s="2"/>
      <c r="L179" s="2"/>
      <c r="M179" s="2"/>
      <c r="N179" s="2"/>
      <c r="O179" s="2" t="n">
        <v>14751698</v>
      </c>
      <c r="P179" s="2"/>
      <c r="Q179" s="2" t="s">
        <v>1286</v>
      </c>
      <c r="R179" s="2" t="s">
        <v>1287</v>
      </c>
      <c r="S179" s="2" t="s">
        <v>77</v>
      </c>
      <c r="T179" s="2" t="s">
        <v>77</v>
      </c>
      <c r="U179" s="2" t="s">
        <v>77</v>
      </c>
      <c r="V179" s="2" t="s">
        <v>54</v>
      </c>
      <c r="W179" s="2" t="n">
        <v>41.2</v>
      </c>
      <c r="X179" s="2" t="n">
        <v>21.6</v>
      </c>
      <c r="Y179" s="2" t="s">
        <v>290</v>
      </c>
      <c r="Z179" s="2" t="s">
        <v>1288</v>
      </c>
      <c r="AA179" s="2" t="n">
        <v>1.507717988841</v>
      </c>
      <c r="AB179" s="2" t="n">
        <v>1.44849977426228</v>
      </c>
      <c r="AC179" s="2" t="n">
        <v>86224.5726792834</v>
      </c>
      <c r="AD179" s="2" t="n">
        <v>310033.681516471</v>
      </c>
      <c r="AE179" s="3" t="n">
        <v>0.278113565782699</v>
      </c>
      <c r="AF179" s="3" t="n">
        <v>-1.84625397691943</v>
      </c>
      <c r="AG179" s="3" t="s">
        <v>57</v>
      </c>
      <c r="AH179" s="2" t="n">
        <v>0.0002203554646032</v>
      </c>
      <c r="AI179" s="2" t="n">
        <v>0.00238353784580299</v>
      </c>
      <c r="AJ179" s="2" t="n">
        <v>35847.2702446188</v>
      </c>
      <c r="AK179" s="2" t="n">
        <v>129940.004073002</v>
      </c>
      <c r="AL179" s="2" t="n">
        <v>182386.440968177</v>
      </c>
      <c r="AM179" s="2" t="n">
        <v>82374.313893348</v>
      </c>
      <c r="AN179" s="2" t="n">
        <v>574.834217271241</v>
      </c>
      <c r="AO179" s="2" t="n">
        <v>355328.869436003</v>
      </c>
      <c r="AP179" s="2" t="n">
        <v>280655.066008436</v>
      </c>
      <c r="AQ179" s="2" t="n">
        <v>327661.998953348</v>
      </c>
      <c r="AR179" s="2" t="n">
        <v>294168.07846081</v>
      </c>
      <c r="AS179" s="2" t="n">
        <v>292354.394723758</v>
      </c>
    </row>
    <row r="180">
      <c r="A180" s="2" t="s">
        <v>1289</v>
      </c>
      <c r="B180" s="2" t="n">
        <v>980.439705297224</v>
      </c>
      <c r="C180" s="2" t="n">
        <v>8.04703333333333</v>
      </c>
      <c r="D180" s="2" t="s">
        <v>46</v>
      </c>
      <c r="E180" s="2" t="s">
        <v>1290</v>
      </c>
      <c r="F180" s="2" t="n">
        <v>245918</v>
      </c>
      <c r="G180" s="5" t="str">
        <f>HYPERLINK("http://funmeta.oebiotech.com/network/245918", "http://funmeta.oebiotech.com/network/245918")</f>
      </c>
      <c r="H180" s="2" t="s">
        <v>1291</v>
      </c>
      <c r="I180" s="2"/>
      <c r="J180" s="2"/>
      <c r="K180" s="2"/>
      <c r="L180" s="2"/>
      <c r="M180" s="2"/>
      <c r="N180" s="2"/>
      <c r="O180" s="2"/>
      <c r="P180" s="2"/>
      <c r="Q180" s="2" t="s">
        <v>1292</v>
      </c>
      <c r="R180" s="2" t="s">
        <v>1293</v>
      </c>
      <c r="S180" s="2" t="s">
        <v>77</v>
      </c>
      <c r="T180" s="2" t="s">
        <v>77</v>
      </c>
      <c r="U180" s="2" t="s">
        <v>77</v>
      </c>
      <c r="V180" s="2" t="s">
        <v>54</v>
      </c>
      <c r="W180" s="2" t="n">
        <v>38.4</v>
      </c>
      <c r="X180" s="2" t="n">
        <v>8.23</v>
      </c>
      <c r="Y180" s="2" t="s">
        <v>438</v>
      </c>
      <c r="Z180" s="2" t="s">
        <v>1294</v>
      </c>
      <c r="AA180" s="2" t="n">
        <v>-4.71270961382428</v>
      </c>
      <c r="AB180" s="2" t="n">
        <v>1.44698751820109</v>
      </c>
      <c r="AC180" s="2" t="n">
        <v>0.00000136409140715624</v>
      </c>
      <c r="AD180" s="2" t="n">
        <v>246228.736490623</v>
      </c>
      <c r="AE180" s="3" t="n">
        <v>0.00000000000553993586044409</v>
      </c>
      <c r="AF180" s="3" t="n">
        <v>-37.393267865326</v>
      </c>
      <c r="AG180" s="3" t="s">
        <v>57</v>
      </c>
      <c r="AH180" s="2" t="n">
        <v>0.0293124152418321</v>
      </c>
      <c r="AI180" s="2" t="n">
        <v>0.0747275080479127</v>
      </c>
      <c r="AJ180" s="2" t="n">
        <v>0.00000136409140715624</v>
      </c>
      <c r="AK180" s="2" t="n">
        <v>0.00000136409140715624</v>
      </c>
      <c r="AL180" s="2" t="n">
        <v>0.00000136409140715624</v>
      </c>
      <c r="AM180" s="2" t="n">
        <v>0.00000136409140715624</v>
      </c>
      <c r="AN180" s="2" t="n">
        <v>0.00000136409140715624</v>
      </c>
      <c r="AO180" s="2" t="n">
        <v>545249.795390386</v>
      </c>
      <c r="AP180" s="2" t="n">
        <v>94271.6449994484</v>
      </c>
      <c r="AQ180" s="2" t="n">
        <v>328988.807199684</v>
      </c>
      <c r="AR180" s="2" t="n">
        <v>14979.4899332132</v>
      </c>
      <c r="AS180" s="2" t="n">
        <v>247653.944930382</v>
      </c>
    </row>
    <row r="181">
      <c r="A181" s="2" t="s">
        <v>1295</v>
      </c>
      <c r="B181" s="2" t="n">
        <v>164.920680579938</v>
      </c>
      <c r="C181" s="2" t="n">
        <v>0.651016666666667</v>
      </c>
      <c r="D181" s="2" t="s">
        <v>59</v>
      </c>
      <c r="E181" s="2" t="s">
        <v>1296</v>
      </c>
      <c r="F181" s="2" t="n">
        <v>256418</v>
      </c>
      <c r="G181" s="5" t="str">
        <f>HYPERLINK("http://funmeta.oebiotech.com/network/256418", "http://funmeta.oebiotech.com/network/256418")</f>
      </c>
      <c r="H181" s="2" t="s">
        <v>1297</v>
      </c>
      <c r="I181" s="2"/>
      <c r="J181" s="2"/>
      <c r="K181" s="2" t="n">
        <v>32149</v>
      </c>
      <c r="L181" s="2" t="s">
        <v>1298</v>
      </c>
      <c r="M181" s="2"/>
      <c r="N181" s="2"/>
      <c r="O181" s="2"/>
      <c r="P181" s="2"/>
      <c r="Q181" s="2" t="s">
        <v>1299</v>
      </c>
      <c r="R181" s="2" t="s">
        <v>1300</v>
      </c>
      <c r="S181" s="2" t="s">
        <v>1301</v>
      </c>
      <c r="T181" s="2" t="s">
        <v>1302</v>
      </c>
      <c r="U181" s="2" t="s">
        <v>1303</v>
      </c>
      <c r="V181" s="2" t="s">
        <v>54</v>
      </c>
      <c r="W181" s="2" t="n">
        <v>38.6</v>
      </c>
      <c r="X181" s="2" t="n">
        <v>0</v>
      </c>
      <c r="Y181" s="2" t="s">
        <v>190</v>
      </c>
      <c r="Z181" s="2" t="s">
        <v>1304</v>
      </c>
      <c r="AA181" s="2" t="n">
        <v>1.35178034460827</v>
      </c>
      <c r="AB181" s="2" t="n">
        <v>1.44317296542975</v>
      </c>
      <c r="AC181" s="2" t="n">
        <v>226744.869802754</v>
      </c>
      <c r="AD181" s="2" t="n">
        <v>6963.59246309003</v>
      </c>
      <c r="AE181" s="4" t="n">
        <v>32.5614790073654</v>
      </c>
      <c r="AF181" s="4" t="n">
        <v>5.02509432606803</v>
      </c>
      <c r="AG181" s="4" t="s">
        <v>72</v>
      </c>
      <c r="AH181" s="2" t="n">
        <v>0.00232121350874604</v>
      </c>
      <c r="AI181" s="2" t="n">
        <v>0.012320934022873</v>
      </c>
      <c r="AJ181" s="2" t="n">
        <v>399932.753118849</v>
      </c>
      <c r="AK181" s="2" t="n">
        <v>139028.211099054</v>
      </c>
      <c r="AL181" s="2" t="n">
        <v>120108.497649987</v>
      </c>
      <c r="AM181" s="2" t="n">
        <v>257185.487998444</v>
      </c>
      <c r="AN181" s="2" t="n">
        <v>217469.399147436</v>
      </c>
      <c r="AO181" s="2" t="n">
        <v>4477.88937043029</v>
      </c>
      <c r="AP181" s="2" t="n">
        <v>13988.3201652793</v>
      </c>
      <c r="AQ181" s="2" t="n">
        <v>4379.34234212166</v>
      </c>
      <c r="AR181" s="2" t="n">
        <v>9057.16254930953</v>
      </c>
      <c r="AS181" s="2" t="n">
        <v>2915.24788830936</v>
      </c>
    </row>
    <row r="182">
      <c r="A182" s="2" t="s">
        <v>1305</v>
      </c>
      <c r="B182" s="2" t="n">
        <v>323.028382338515</v>
      </c>
      <c r="C182" s="2" t="n">
        <v>0.804566666666667</v>
      </c>
      <c r="D182" s="2" t="s">
        <v>46</v>
      </c>
      <c r="E182" s="2" t="s">
        <v>1306</v>
      </c>
      <c r="F182" s="2" t="n">
        <v>46975</v>
      </c>
      <c r="G182" s="5" t="str">
        <f>HYPERLINK("http://funmeta.oebiotech.com/network/46975", "http://funmeta.oebiotech.com/network/46975")</f>
      </c>
      <c r="H182" s="2" t="s">
        <v>1307</v>
      </c>
      <c r="I182" s="2"/>
      <c r="J182" s="2"/>
      <c r="K182" s="2" t="n">
        <v>16695</v>
      </c>
      <c r="L182" s="2" t="s">
        <v>1308</v>
      </c>
      <c r="M182" s="2" t="s">
        <v>722</v>
      </c>
      <c r="N182" s="2" t="s">
        <v>723</v>
      </c>
      <c r="O182" s="2" t="n">
        <v>6030</v>
      </c>
      <c r="P182" s="2" t="s">
        <v>1309</v>
      </c>
      <c r="Q182" s="2" t="s">
        <v>1310</v>
      </c>
      <c r="R182" s="2" t="s">
        <v>1311</v>
      </c>
      <c r="S182" s="2" t="s">
        <v>360</v>
      </c>
      <c r="T182" s="2" t="s">
        <v>727</v>
      </c>
      <c r="U182" s="2" t="s">
        <v>1312</v>
      </c>
      <c r="V182" s="2" t="s">
        <v>92</v>
      </c>
      <c r="W182" s="2" t="n">
        <v>57.9</v>
      </c>
      <c r="X182" s="2" t="n">
        <v>51.3</v>
      </c>
      <c r="Y182" s="2" t="s">
        <v>166</v>
      </c>
      <c r="Z182" s="2" t="s">
        <v>1313</v>
      </c>
      <c r="AA182" s="2" t="n">
        <v>-0.641478479002721</v>
      </c>
      <c r="AB182" s="2" t="n">
        <v>1.43541979583997</v>
      </c>
      <c r="AC182" s="2" t="n">
        <v>120334.637496544</v>
      </c>
      <c r="AD182" s="2" t="n">
        <v>344346.230797996</v>
      </c>
      <c r="AE182" s="3" t="n">
        <v>0.349458268260053</v>
      </c>
      <c r="AF182" s="3" t="n">
        <v>-1.51680791330378</v>
      </c>
      <c r="AG182" s="3" t="s">
        <v>57</v>
      </c>
      <c r="AH182" s="2" t="n">
        <v>0.00491796150916178</v>
      </c>
      <c r="AI182" s="2" t="n">
        <v>0.0219491656082925</v>
      </c>
      <c r="AJ182" s="2" t="n">
        <v>117819.184407507</v>
      </c>
      <c r="AK182" s="2" t="n">
        <v>50727.859259372</v>
      </c>
      <c r="AL182" s="2" t="n">
        <v>37112.1670162182</v>
      </c>
      <c r="AM182" s="2" t="n">
        <v>169084.724881746</v>
      </c>
      <c r="AN182" s="2" t="n">
        <v>226929.251917877</v>
      </c>
      <c r="AO182" s="2" t="n">
        <v>391683.577516166</v>
      </c>
      <c r="AP182" s="2" t="n">
        <v>290318.298505058</v>
      </c>
      <c r="AQ182" s="2" t="n">
        <v>489732.722281719</v>
      </c>
      <c r="AR182" s="2" t="n">
        <v>218064.060328168</v>
      </c>
      <c r="AS182" s="2" t="n">
        <v>331932.495358867</v>
      </c>
    </row>
    <row r="183">
      <c r="A183" s="2" t="s">
        <v>1314</v>
      </c>
      <c r="B183" s="2" t="n">
        <v>247.093032226406</v>
      </c>
      <c r="C183" s="2" t="n">
        <v>0.73705</v>
      </c>
      <c r="D183" s="2" t="s">
        <v>46</v>
      </c>
      <c r="E183" s="2" t="s">
        <v>1315</v>
      </c>
      <c r="F183" s="2" t="n">
        <v>54162</v>
      </c>
      <c r="G183" s="5" t="str">
        <f>HYPERLINK("http://funmeta.oebiotech.com/network/54162", "http://funmeta.oebiotech.com/network/54162")</f>
      </c>
      <c r="H183" s="2" t="s">
        <v>1316</v>
      </c>
      <c r="I183" s="2"/>
      <c r="J183" s="2"/>
      <c r="K183" s="2" t="n">
        <v>133747</v>
      </c>
      <c r="L183" s="2"/>
      <c r="M183" s="2"/>
      <c r="N183" s="2"/>
      <c r="O183" s="2" t="n">
        <v>53861142</v>
      </c>
      <c r="P183" s="2" t="s">
        <v>1317</v>
      </c>
      <c r="Q183" s="2" t="s">
        <v>1318</v>
      </c>
      <c r="R183" s="2" t="s">
        <v>1319</v>
      </c>
      <c r="S183" s="2" t="s">
        <v>110</v>
      </c>
      <c r="T183" s="2" t="s">
        <v>111</v>
      </c>
      <c r="U183" s="2" t="s">
        <v>112</v>
      </c>
      <c r="V183" s="2" t="s">
        <v>122</v>
      </c>
      <c r="W183" s="2" t="n">
        <v>41.1</v>
      </c>
      <c r="X183" s="2" t="n">
        <v>0</v>
      </c>
      <c r="Y183" s="2" t="s">
        <v>290</v>
      </c>
      <c r="Z183" s="2" t="s">
        <v>1320</v>
      </c>
      <c r="AA183" s="2" t="n">
        <v>-2.12648083733965</v>
      </c>
      <c r="AB183" s="2" t="n">
        <v>1.4281083090315</v>
      </c>
      <c r="AC183" s="2" t="n">
        <v>109825.588648507</v>
      </c>
      <c r="AD183" s="2" t="n">
        <v>332928.767949736</v>
      </c>
      <c r="AE183" s="3" t="n">
        <v>0.329877136556394</v>
      </c>
      <c r="AF183" s="3" t="n">
        <v>-1.59999930522265</v>
      </c>
      <c r="AG183" s="3" t="s">
        <v>57</v>
      </c>
      <c r="AH183" s="2" t="n">
        <v>0.000539599003398495</v>
      </c>
      <c r="AI183" s="2" t="n">
        <v>0.00436747259656793</v>
      </c>
      <c r="AJ183" s="2" t="n">
        <v>101759.120375965</v>
      </c>
      <c r="AK183" s="2" t="n">
        <v>172898.847510395</v>
      </c>
      <c r="AL183" s="2" t="n">
        <v>133301.106129691</v>
      </c>
      <c r="AM183" s="2" t="n">
        <v>113682.144626194</v>
      </c>
      <c r="AN183" s="2" t="n">
        <v>27486.7246002905</v>
      </c>
      <c r="AO183" s="2" t="n">
        <v>309409.472329502</v>
      </c>
      <c r="AP183" s="2" t="n">
        <v>321366.790054259</v>
      </c>
      <c r="AQ183" s="2" t="n">
        <v>387889.96113683</v>
      </c>
      <c r="AR183" s="2" t="n">
        <v>230794.908995215</v>
      </c>
      <c r="AS183" s="2" t="n">
        <v>415182.707232874</v>
      </c>
    </row>
    <row r="184">
      <c r="A184" s="2" t="s">
        <v>1321</v>
      </c>
      <c r="B184" s="2" t="n">
        <v>260.132345962644</v>
      </c>
      <c r="C184" s="2" t="n">
        <v>7.44116666666667</v>
      </c>
      <c r="D184" s="2" t="s">
        <v>46</v>
      </c>
      <c r="E184" s="2" t="s">
        <v>1322</v>
      </c>
      <c r="F184" s="2" t="n">
        <v>205386</v>
      </c>
      <c r="G184" s="5" t="str">
        <f>HYPERLINK("http://funmeta.oebiotech.com/network/205386", "http://funmeta.oebiotech.com/network/205386")</f>
      </c>
      <c r="H184" s="2" t="s">
        <v>1323</v>
      </c>
      <c r="I184" s="2" t="n">
        <v>72550</v>
      </c>
      <c r="J184" s="2"/>
      <c r="K184" s="2"/>
      <c r="L184" s="2" t="s">
        <v>1324</v>
      </c>
      <c r="M184" s="2"/>
      <c r="N184" s="2"/>
      <c r="O184" s="2" t="n">
        <v>14337</v>
      </c>
      <c r="P184" s="2" t="s">
        <v>1325</v>
      </c>
      <c r="Q184" s="2" t="s">
        <v>1326</v>
      </c>
      <c r="R184" s="2" t="s">
        <v>1327</v>
      </c>
      <c r="S184" s="2" t="s">
        <v>1328</v>
      </c>
      <c r="T184" s="2" t="s">
        <v>1329</v>
      </c>
      <c r="U184" s="2" t="s">
        <v>1330</v>
      </c>
      <c r="V184" s="2" t="s">
        <v>54</v>
      </c>
      <c r="W184" s="2" t="n">
        <v>39</v>
      </c>
      <c r="X184" s="2" t="n">
        <v>0</v>
      </c>
      <c r="Y184" s="2" t="s">
        <v>131</v>
      </c>
      <c r="Z184" s="2" t="s">
        <v>1331</v>
      </c>
      <c r="AA184" s="2" t="n">
        <v>-1.12583205013732</v>
      </c>
      <c r="AB184" s="2" t="n">
        <v>1.42137462914592</v>
      </c>
      <c r="AC184" s="2" t="n">
        <v>6898.10468371456</v>
      </c>
      <c r="AD184" s="2" t="n">
        <v>257603.603686001</v>
      </c>
      <c r="AE184" s="3" t="n">
        <v>0.0267779820818144</v>
      </c>
      <c r="AF184" s="3" t="n">
        <v>-5.222808942714</v>
      </c>
      <c r="AG184" s="3" t="s">
        <v>57</v>
      </c>
      <c r="AH184" s="2" t="n">
        <v>0.0181746241416882</v>
      </c>
      <c r="AI184" s="2" t="n">
        <v>0.0542001513843731</v>
      </c>
      <c r="AJ184" s="2" t="n">
        <v>13376.9679642211</v>
      </c>
      <c r="AK184" s="2" t="n">
        <v>1834.47191948819</v>
      </c>
      <c r="AL184" s="2" t="n">
        <v>13884.8447373916</v>
      </c>
      <c r="AM184" s="2" t="n">
        <v>2852.27609381726</v>
      </c>
      <c r="AN184" s="2" t="n">
        <v>2541.96270365463</v>
      </c>
      <c r="AO184" s="2" t="n">
        <v>514745.029535655</v>
      </c>
      <c r="AP184" s="2" t="n">
        <v>369957.021844229</v>
      </c>
      <c r="AQ184" s="2" t="n">
        <v>172267.363392496</v>
      </c>
      <c r="AR184" s="2" t="n">
        <v>23270.4247197518</v>
      </c>
      <c r="AS184" s="2" t="n">
        <v>207778.178937872</v>
      </c>
    </row>
    <row r="185">
      <c r="A185" s="2" t="s">
        <v>1332</v>
      </c>
      <c r="B185" s="2" t="n">
        <v>445.26603109841</v>
      </c>
      <c r="C185" s="2" t="n">
        <v>4.39115</v>
      </c>
      <c r="D185" s="2" t="s">
        <v>59</v>
      </c>
      <c r="E185" s="2" t="s">
        <v>1333</v>
      </c>
      <c r="F185" s="2" t="n">
        <v>8787</v>
      </c>
      <c r="G185" s="5" t="str">
        <f>HYPERLINK("http://funmeta.oebiotech.com/network/8787", "http://funmeta.oebiotech.com/network/8787")</f>
      </c>
      <c r="H185" s="2"/>
      <c r="I185" s="2"/>
      <c r="J185" s="2" t="s">
        <v>1334</v>
      </c>
      <c r="K185" s="2"/>
      <c r="L185" s="2"/>
      <c r="M185" s="2"/>
      <c r="N185" s="2"/>
      <c r="O185" s="2" t="n">
        <v>10960832</v>
      </c>
      <c r="P185" s="2"/>
      <c r="Q185" s="2" t="s">
        <v>1335</v>
      </c>
      <c r="R185" s="2" t="s">
        <v>1336</v>
      </c>
      <c r="S185" s="2" t="s">
        <v>110</v>
      </c>
      <c r="T185" s="2" t="s">
        <v>111</v>
      </c>
      <c r="U185" s="2" t="s">
        <v>112</v>
      </c>
      <c r="V185" s="2" t="s">
        <v>122</v>
      </c>
      <c r="W185" s="2" t="n">
        <v>46.4</v>
      </c>
      <c r="X185" s="2" t="n">
        <v>31.9</v>
      </c>
      <c r="Y185" s="2" t="s">
        <v>363</v>
      </c>
      <c r="Z185" s="2" t="s">
        <v>1337</v>
      </c>
      <c r="AA185" s="2" t="n">
        <v>-2.98833335845372</v>
      </c>
      <c r="AB185" s="2" t="n">
        <v>1.41856760957002</v>
      </c>
      <c r="AC185" s="2" t="n">
        <v>224060.5367815</v>
      </c>
      <c r="AD185" s="2" t="n">
        <v>477633.83876563</v>
      </c>
      <c r="AE185" s="3" t="n">
        <v>0.469105240450612</v>
      </c>
      <c r="AF185" s="3" t="n">
        <v>-1.0920164773835</v>
      </c>
      <c r="AG185" s="3" t="s">
        <v>57</v>
      </c>
      <c r="AH185" s="2" t="n">
        <v>0.0119597271020201</v>
      </c>
      <c r="AI185" s="2" t="n">
        <v>0.0405344134284777</v>
      </c>
      <c r="AJ185" s="2" t="n">
        <v>92452.5408254807</v>
      </c>
      <c r="AK185" s="2" t="n">
        <v>344489.735980501</v>
      </c>
      <c r="AL185" s="2" t="n">
        <v>417870.81841</v>
      </c>
      <c r="AM185" s="2" t="n">
        <v>253570.863577276</v>
      </c>
      <c r="AN185" s="2" t="n">
        <v>11918.7251142415</v>
      </c>
      <c r="AO185" s="2" t="n">
        <v>537206.941763772</v>
      </c>
      <c r="AP185" s="2" t="n">
        <v>447762.811503815</v>
      </c>
      <c r="AQ185" s="2" t="n">
        <v>508380.946476395</v>
      </c>
      <c r="AR185" s="2" t="n">
        <v>461129.243772305</v>
      </c>
      <c r="AS185" s="2" t="n">
        <v>433689.250311864</v>
      </c>
    </row>
    <row r="186">
      <c r="A186" s="2" t="s">
        <v>1338</v>
      </c>
      <c r="B186" s="2" t="n">
        <v>217.118544629606</v>
      </c>
      <c r="C186" s="2" t="n">
        <v>0.787616666666667</v>
      </c>
      <c r="D186" s="2" t="s">
        <v>46</v>
      </c>
      <c r="E186" s="2" t="s">
        <v>1339</v>
      </c>
      <c r="F186" s="2" t="n">
        <v>54085</v>
      </c>
      <c r="G186" s="5" t="str">
        <f>HYPERLINK("http://funmeta.oebiotech.com/network/54085", "http://funmeta.oebiotech.com/network/54085")</f>
      </c>
      <c r="H186" s="2" t="s">
        <v>1340</v>
      </c>
      <c r="I186" s="2"/>
      <c r="J186" s="2"/>
      <c r="K186" s="2" t="n">
        <v>90328</v>
      </c>
      <c r="L186" s="2"/>
      <c r="M186" s="2"/>
      <c r="N186" s="2"/>
      <c r="O186" s="2" t="n">
        <v>7020901</v>
      </c>
      <c r="P186" s="2" t="s">
        <v>1341</v>
      </c>
      <c r="Q186" s="2" t="s">
        <v>1342</v>
      </c>
      <c r="R186" s="2" t="s">
        <v>1343</v>
      </c>
      <c r="S186" s="2" t="s">
        <v>110</v>
      </c>
      <c r="T186" s="2" t="s">
        <v>111</v>
      </c>
      <c r="U186" s="2" t="s">
        <v>112</v>
      </c>
      <c r="V186" s="2" t="s">
        <v>69</v>
      </c>
      <c r="W186" s="2" t="n">
        <v>47.7</v>
      </c>
      <c r="X186" s="2" t="n">
        <v>53.2</v>
      </c>
      <c r="Y186" s="2" t="s">
        <v>290</v>
      </c>
      <c r="Z186" s="2" t="s">
        <v>298</v>
      </c>
      <c r="AA186" s="2" t="n">
        <v>-3.8326516600402</v>
      </c>
      <c r="AB186" s="2" t="n">
        <v>1.41356723647221</v>
      </c>
      <c r="AC186" s="2" t="n">
        <v>45410.637969096</v>
      </c>
      <c r="AD186" s="2" t="n">
        <v>251971.058531313</v>
      </c>
      <c r="AE186" s="3" t="n">
        <v>0.180221642254413</v>
      </c>
      <c r="AF186" s="3" t="n">
        <v>-2.47215582458889</v>
      </c>
      <c r="AG186" s="3" t="s">
        <v>57</v>
      </c>
      <c r="AH186" s="2" t="n">
        <v>0.000131551688909362</v>
      </c>
      <c r="AI186" s="2" t="n">
        <v>0.00171157032161063</v>
      </c>
      <c r="AJ186" s="2" t="n">
        <v>24641.1301726972</v>
      </c>
      <c r="AK186" s="2" t="n">
        <v>93118.2088094064</v>
      </c>
      <c r="AL186" s="2" t="n">
        <v>76963.493669714</v>
      </c>
      <c r="AM186" s="2" t="n">
        <v>28424.5834323943</v>
      </c>
      <c r="AN186" s="2" t="n">
        <v>3905.77376126794</v>
      </c>
      <c r="AO186" s="2" t="n">
        <v>246032.03174727</v>
      </c>
      <c r="AP186" s="2" t="n">
        <v>215111.150058896</v>
      </c>
      <c r="AQ186" s="2" t="n">
        <v>319705.966453759</v>
      </c>
      <c r="AR186" s="2" t="n">
        <v>183817.812043149</v>
      </c>
      <c r="AS186" s="2" t="n">
        <v>295188.332353491</v>
      </c>
    </row>
    <row r="187">
      <c r="A187" s="2" t="s">
        <v>1344</v>
      </c>
      <c r="B187" s="2" t="n">
        <v>345.149106983924</v>
      </c>
      <c r="C187" s="2" t="n">
        <v>7.44116666666667</v>
      </c>
      <c r="D187" s="2" t="s">
        <v>46</v>
      </c>
      <c r="E187" s="2" t="s">
        <v>1345</v>
      </c>
      <c r="F187" s="2" t="n">
        <v>205393</v>
      </c>
      <c r="G187" s="5" t="str">
        <f>HYPERLINK("http://funmeta.oebiotech.com/network/205393", "http://funmeta.oebiotech.com/network/205393")</f>
      </c>
      <c r="H187" s="2" t="s">
        <v>1346</v>
      </c>
      <c r="I187" s="2"/>
      <c r="J187" s="2"/>
      <c r="K187" s="2"/>
      <c r="L187" s="2"/>
      <c r="M187" s="2"/>
      <c r="N187" s="2"/>
      <c r="O187" s="2" t="n">
        <v>2898</v>
      </c>
      <c r="P187" s="2"/>
      <c r="Q187" s="2" t="s">
        <v>1347</v>
      </c>
      <c r="R187" s="2" t="s">
        <v>1348</v>
      </c>
      <c r="S187" s="2" t="s">
        <v>147</v>
      </c>
      <c r="T187" s="2" t="s">
        <v>148</v>
      </c>
      <c r="U187" s="2" t="s">
        <v>1349</v>
      </c>
      <c r="V187" s="2" t="s">
        <v>54</v>
      </c>
      <c r="W187" s="2" t="n">
        <v>37.8</v>
      </c>
      <c r="X187" s="2" t="n">
        <v>1.36</v>
      </c>
      <c r="Y187" s="2" t="s">
        <v>438</v>
      </c>
      <c r="Z187" s="2" t="s">
        <v>1350</v>
      </c>
      <c r="AA187" s="2" t="n">
        <v>-1.40359601837673</v>
      </c>
      <c r="AB187" s="2" t="n">
        <v>1.40344547065089</v>
      </c>
      <c r="AC187" s="2" t="n">
        <v>9530.61997978742</v>
      </c>
      <c r="AD187" s="2" t="n">
        <v>222085.520887863</v>
      </c>
      <c r="AE187" s="3" t="n">
        <v>0.0429141888299855</v>
      </c>
      <c r="AF187" s="3" t="n">
        <v>-4.5424014611587</v>
      </c>
      <c r="AG187" s="3" t="s">
        <v>57</v>
      </c>
      <c r="AH187" s="2" t="n">
        <v>0.00134852384736612</v>
      </c>
      <c r="AI187" s="2" t="n">
        <v>0.00835343524901211</v>
      </c>
      <c r="AJ187" s="2" t="n">
        <v>7408.7131848662</v>
      </c>
      <c r="AK187" s="2" t="n">
        <v>23661.3705023462</v>
      </c>
      <c r="AL187" s="2" t="n">
        <v>7735.99162116645</v>
      </c>
      <c r="AM187" s="2" t="n">
        <v>8713.98770570643</v>
      </c>
      <c r="AN187" s="2" t="n">
        <v>133.036884851807</v>
      </c>
      <c r="AO187" s="2" t="n">
        <v>294505.317942414</v>
      </c>
      <c r="AP187" s="2" t="n">
        <v>269276.663956103</v>
      </c>
      <c r="AQ187" s="2" t="n">
        <v>310387.779714265</v>
      </c>
      <c r="AR187" s="2" t="n">
        <v>86721.1824343251</v>
      </c>
      <c r="AS187" s="2" t="n">
        <v>149536.660392206</v>
      </c>
    </row>
    <row r="188">
      <c r="A188" s="2" t="s">
        <v>1351</v>
      </c>
      <c r="B188" s="2" t="n">
        <v>249.126876133481</v>
      </c>
      <c r="C188" s="2" t="n">
        <v>2.40636666666667</v>
      </c>
      <c r="D188" s="2" t="s">
        <v>59</v>
      </c>
      <c r="E188" s="2" t="s">
        <v>1352</v>
      </c>
      <c r="F188" s="2" t="n">
        <v>54144</v>
      </c>
      <c r="G188" s="5" t="str">
        <f>HYPERLINK("http://funmeta.oebiotech.com/network/54144", "http://funmeta.oebiotech.com/network/54144")</f>
      </c>
      <c r="H188" s="2" t="s">
        <v>1353</v>
      </c>
      <c r="I188" s="2" t="n">
        <v>23761</v>
      </c>
      <c r="J188" s="2"/>
      <c r="K188" s="2" t="n">
        <v>75015</v>
      </c>
      <c r="L188" s="2"/>
      <c r="M188" s="2"/>
      <c r="N188" s="2"/>
      <c r="O188" s="2" t="n">
        <v>6993038</v>
      </c>
      <c r="P188" s="2" t="s">
        <v>1354</v>
      </c>
      <c r="Q188" s="2" t="s">
        <v>1355</v>
      </c>
      <c r="R188" s="2" t="s">
        <v>1356</v>
      </c>
      <c r="S188" s="2" t="s">
        <v>110</v>
      </c>
      <c r="T188" s="2" t="s">
        <v>111</v>
      </c>
      <c r="U188" s="2" t="s">
        <v>112</v>
      </c>
      <c r="V188" s="2" t="s">
        <v>92</v>
      </c>
      <c r="W188" s="2" t="n">
        <v>58.1</v>
      </c>
      <c r="X188" s="2" t="n">
        <v>84.2</v>
      </c>
      <c r="Y188" s="2" t="s">
        <v>248</v>
      </c>
      <c r="Z188" s="2" t="s">
        <v>1357</v>
      </c>
      <c r="AA188" s="2" t="n">
        <v>0.548896082057508</v>
      </c>
      <c r="AB188" s="2" t="n">
        <v>1.3990444958542</v>
      </c>
      <c r="AC188" s="2" t="n">
        <v>196480.048959499</v>
      </c>
      <c r="AD188" s="2" t="n">
        <v>472916.038564389</v>
      </c>
      <c r="AE188" s="3" t="n">
        <v>0.415464972505364</v>
      </c>
      <c r="AF188" s="3" t="n">
        <v>-1.26720124514321</v>
      </c>
      <c r="AG188" s="3" t="s">
        <v>57</v>
      </c>
      <c r="AH188" s="2" t="n">
        <v>0.0282742312836618</v>
      </c>
      <c r="AI188" s="2" t="n">
        <v>0.0729577258134117</v>
      </c>
      <c r="AJ188" s="2" t="n">
        <v>115593.542451367</v>
      </c>
      <c r="AK188" s="2" t="n">
        <v>353264.978890866</v>
      </c>
      <c r="AL188" s="2" t="n">
        <v>313662.335542881</v>
      </c>
      <c r="AM188" s="2" t="n">
        <v>193940.214032334</v>
      </c>
      <c r="AN188" s="2" t="n">
        <v>5939.17388004952</v>
      </c>
      <c r="AO188" s="2" t="n">
        <v>286093.02163066</v>
      </c>
      <c r="AP188" s="2" t="n">
        <v>437639.688542791</v>
      </c>
      <c r="AQ188" s="2" t="n">
        <v>546474.947897852</v>
      </c>
      <c r="AR188" s="2" t="n">
        <v>346804.010379056</v>
      </c>
      <c r="AS188" s="2" t="n">
        <v>747568.524371584</v>
      </c>
    </row>
    <row r="189">
      <c r="A189" s="2" t="s">
        <v>1358</v>
      </c>
      <c r="B189" s="2" t="n">
        <v>288.203099982854</v>
      </c>
      <c r="C189" s="2" t="n">
        <v>1.19926666666667</v>
      </c>
      <c r="D189" s="2" t="s">
        <v>59</v>
      </c>
      <c r="E189" s="2" t="s">
        <v>1359</v>
      </c>
      <c r="F189" s="2" t="n">
        <v>53752</v>
      </c>
      <c r="G189" s="5" t="str">
        <f>HYPERLINK("http://funmeta.oebiotech.com/network/53752", "http://funmeta.oebiotech.com/network/53752")</f>
      </c>
      <c r="H189" s="2" t="s">
        <v>1360</v>
      </c>
      <c r="I189" s="2" t="n">
        <v>24022</v>
      </c>
      <c r="J189" s="2"/>
      <c r="K189" s="2" t="n">
        <v>73815</v>
      </c>
      <c r="L189" s="2"/>
      <c r="M189" s="2"/>
      <c r="N189" s="2"/>
      <c r="O189" s="2" t="n">
        <v>6992563</v>
      </c>
      <c r="P189" s="2" t="s">
        <v>1361</v>
      </c>
      <c r="Q189" s="2" t="s">
        <v>1362</v>
      </c>
      <c r="R189" s="2" t="s">
        <v>1363</v>
      </c>
      <c r="S189" s="2" t="s">
        <v>110</v>
      </c>
      <c r="T189" s="2" t="s">
        <v>111</v>
      </c>
      <c r="U189" s="2" t="s">
        <v>112</v>
      </c>
      <c r="V189" s="2" t="s">
        <v>92</v>
      </c>
      <c r="W189" s="2" t="n">
        <v>58.5</v>
      </c>
      <c r="X189" s="2" t="n">
        <v>57.8</v>
      </c>
      <c r="Y189" s="2" t="s">
        <v>248</v>
      </c>
      <c r="Z189" s="2" t="s">
        <v>1364</v>
      </c>
      <c r="AA189" s="2" t="n">
        <v>0.292018341767414</v>
      </c>
      <c r="AB189" s="2" t="n">
        <v>1.3973290307956</v>
      </c>
      <c r="AC189" s="2" t="n">
        <v>200954.985608298</v>
      </c>
      <c r="AD189" s="2" t="n">
        <v>451105.151199395</v>
      </c>
      <c r="AE189" s="3" t="n">
        <v>0.445472602283525</v>
      </c>
      <c r="AF189" s="3" t="n">
        <v>-1.16659138988575</v>
      </c>
      <c r="AG189" s="3" t="s">
        <v>57</v>
      </c>
      <c r="AH189" s="2" t="n">
        <v>0.0117569106723513</v>
      </c>
      <c r="AI189" s="2" t="n">
        <v>0.0400318164612091</v>
      </c>
      <c r="AJ189" s="2" t="n">
        <v>192561.959058741</v>
      </c>
      <c r="AK189" s="2" t="n">
        <v>254652.255823692</v>
      </c>
      <c r="AL189" s="2" t="n">
        <v>276925.750991538</v>
      </c>
      <c r="AM189" s="2" t="n">
        <v>224966.856212431</v>
      </c>
      <c r="AN189" s="2" t="n">
        <v>55668.1059550874</v>
      </c>
      <c r="AO189" s="2" t="n">
        <v>379247.894064493</v>
      </c>
      <c r="AP189" s="2" t="n">
        <v>402585.31629793</v>
      </c>
      <c r="AQ189" s="2" t="n">
        <v>473682.780707323</v>
      </c>
      <c r="AR189" s="2" t="n">
        <v>305714.42009689</v>
      </c>
      <c r="AS189" s="2" t="n">
        <v>694295.344830341</v>
      </c>
    </row>
    <row r="190">
      <c r="A190" s="2" t="s">
        <v>1365</v>
      </c>
      <c r="B190" s="2" t="n">
        <v>459.246165334413</v>
      </c>
      <c r="C190" s="2" t="n">
        <v>4.13138333333333</v>
      </c>
      <c r="D190" s="2" t="s">
        <v>46</v>
      </c>
      <c r="E190" s="2" t="s">
        <v>1366</v>
      </c>
      <c r="F190" s="2" t="n">
        <v>54139</v>
      </c>
      <c r="G190" s="5" t="str">
        <f>HYPERLINK("http://funmeta.oebiotech.com/network/54139", "http://funmeta.oebiotech.com/network/54139")</f>
      </c>
      <c r="H190" s="2" t="s">
        <v>1367</v>
      </c>
      <c r="I190" s="2"/>
      <c r="J190" s="2"/>
      <c r="K190" s="2"/>
      <c r="L190" s="2"/>
      <c r="M190" s="2"/>
      <c r="N190" s="2"/>
      <c r="O190" s="2" t="n">
        <v>10242944</v>
      </c>
      <c r="P190" s="2" t="s">
        <v>1368</v>
      </c>
      <c r="Q190" s="2" t="s">
        <v>1369</v>
      </c>
      <c r="R190" s="2" t="s">
        <v>1370</v>
      </c>
      <c r="S190" s="2" t="s">
        <v>110</v>
      </c>
      <c r="T190" s="2" t="s">
        <v>111</v>
      </c>
      <c r="U190" s="2" t="s">
        <v>112</v>
      </c>
      <c r="V190" s="2" t="s">
        <v>54</v>
      </c>
      <c r="W190" s="2" t="n">
        <v>41.5</v>
      </c>
      <c r="X190" s="2" t="n">
        <v>14.5</v>
      </c>
      <c r="Y190" s="2" t="s">
        <v>85</v>
      </c>
      <c r="Z190" s="2" t="s">
        <v>1371</v>
      </c>
      <c r="AA190" s="2" t="n">
        <v>0.277317313359793</v>
      </c>
      <c r="AB190" s="2" t="n">
        <v>1.39389397624343</v>
      </c>
      <c r="AC190" s="2" t="n">
        <v>84856.8176395477</v>
      </c>
      <c r="AD190" s="2" t="n">
        <v>294274.014577852</v>
      </c>
      <c r="AE190" s="3" t="n">
        <v>0.288359873573201</v>
      </c>
      <c r="AF190" s="3" t="n">
        <v>-1.79405767311234</v>
      </c>
      <c r="AG190" s="3" t="s">
        <v>57</v>
      </c>
      <c r="AH190" s="2" t="n">
        <v>0.000470629926737568</v>
      </c>
      <c r="AI190" s="2" t="n">
        <v>0.00400810485303141</v>
      </c>
      <c r="AJ190" s="2" t="n">
        <v>20957.416233077</v>
      </c>
      <c r="AK190" s="2" t="n">
        <v>133877.927020651</v>
      </c>
      <c r="AL190" s="2" t="n">
        <v>194326.280514294</v>
      </c>
      <c r="AM190" s="2" t="n">
        <v>72503.9588178353</v>
      </c>
      <c r="AN190" s="2" t="n">
        <v>2618.50561188139</v>
      </c>
      <c r="AO190" s="2" t="n">
        <v>306419.74806985</v>
      </c>
      <c r="AP190" s="2" t="n">
        <v>270484.957866073</v>
      </c>
      <c r="AQ190" s="2" t="n">
        <v>322985.401669347</v>
      </c>
      <c r="AR190" s="2" t="n">
        <v>275301.919659808</v>
      </c>
      <c r="AS190" s="2" t="n">
        <v>296178.045624182</v>
      </c>
    </row>
    <row r="191">
      <c r="A191" s="2" t="s">
        <v>1372</v>
      </c>
      <c r="B191" s="2" t="n">
        <v>970.626412436222</v>
      </c>
      <c r="C191" s="2" t="n">
        <v>5.11843333333333</v>
      </c>
      <c r="D191" s="2" t="s">
        <v>46</v>
      </c>
      <c r="E191" s="2" t="s">
        <v>1373</v>
      </c>
      <c r="F191" s="2" t="n">
        <v>39836</v>
      </c>
      <c r="G191" s="5" t="str">
        <f>HYPERLINK("http://funmeta.oebiotech.com/network/39836", "http://funmeta.oebiotech.com/network/39836")</f>
      </c>
      <c r="H191" s="2"/>
      <c r="I191" s="2"/>
      <c r="J191" s="2" t="s">
        <v>1374</v>
      </c>
      <c r="K191" s="2"/>
      <c r="L191" s="2"/>
      <c r="M191" s="2"/>
      <c r="N191" s="2"/>
      <c r="O191" s="2" t="n">
        <v>70699133</v>
      </c>
      <c r="P191" s="2"/>
      <c r="Q191" s="2" t="s">
        <v>1375</v>
      </c>
      <c r="R191" s="2" t="s">
        <v>1376</v>
      </c>
      <c r="S191" s="2" t="s">
        <v>66</v>
      </c>
      <c r="T191" s="2" t="s">
        <v>1377</v>
      </c>
      <c r="U191" s="2" t="s">
        <v>1378</v>
      </c>
      <c r="V191" s="2" t="s">
        <v>54</v>
      </c>
      <c r="W191" s="2" t="n">
        <v>39.7</v>
      </c>
      <c r="X191" s="2" t="n">
        <v>5.93</v>
      </c>
      <c r="Y191" s="2" t="s">
        <v>290</v>
      </c>
      <c r="Z191" s="2" t="s">
        <v>1379</v>
      </c>
      <c r="AA191" s="2" t="n">
        <v>2.74415474681026</v>
      </c>
      <c r="AB191" s="2" t="n">
        <v>1.39378538533595</v>
      </c>
      <c r="AC191" s="2" t="n">
        <v>1978.58686818688</v>
      </c>
      <c r="AD191" s="2" t="n">
        <v>215080.549559041</v>
      </c>
      <c r="AE191" s="3" t="n">
        <v>0.00919928311622501</v>
      </c>
      <c r="AF191" s="3" t="n">
        <v>-6.76426284577118</v>
      </c>
      <c r="AG191" s="3" t="s">
        <v>57</v>
      </c>
      <c r="AH191" s="2" t="n">
        <v>0.00039881613503662</v>
      </c>
      <c r="AI191" s="2" t="n">
        <v>0.00361215232042441</v>
      </c>
      <c r="AJ191" s="2" t="n">
        <v>0.00000136409140715624</v>
      </c>
      <c r="AK191" s="2" t="n">
        <v>695.516386699998</v>
      </c>
      <c r="AL191" s="2" t="n">
        <v>2781.56109812469</v>
      </c>
      <c r="AM191" s="2" t="n">
        <v>6415.85685338154</v>
      </c>
      <c r="AN191" s="2" t="n">
        <v>0.00000136409140715624</v>
      </c>
      <c r="AO191" s="2" t="n">
        <v>165066.565172931</v>
      </c>
      <c r="AP191" s="2" t="n">
        <v>173755.402801667</v>
      </c>
      <c r="AQ191" s="2" t="n">
        <v>360554.881266725</v>
      </c>
      <c r="AR191" s="2" t="n">
        <v>189319.978138189</v>
      </c>
      <c r="AS191" s="2" t="n">
        <v>186705.920415693</v>
      </c>
    </row>
    <row r="192">
      <c r="A192" s="2" t="s">
        <v>1380</v>
      </c>
      <c r="B192" s="2" t="n">
        <v>415.220012690413</v>
      </c>
      <c r="C192" s="2" t="n">
        <v>3.90326666666667</v>
      </c>
      <c r="D192" s="2" t="s">
        <v>46</v>
      </c>
      <c r="E192" s="2" t="s">
        <v>1381</v>
      </c>
      <c r="F192" s="2" t="n">
        <v>115446</v>
      </c>
      <c r="G192" s="5" t="str">
        <f>HYPERLINK("http://funmeta.oebiotech.com/network/115446", "http://funmeta.oebiotech.com/network/115446")</f>
      </c>
      <c r="H192" s="2" t="s">
        <v>1382</v>
      </c>
      <c r="I192" s="2" t="n">
        <v>332404</v>
      </c>
      <c r="J192" s="2"/>
      <c r="K192" s="2" t="n">
        <v>44794</v>
      </c>
      <c r="L192" s="2"/>
      <c r="M192" s="2"/>
      <c r="N192" s="2"/>
      <c r="O192" s="2" t="n">
        <v>78798</v>
      </c>
      <c r="P192" s="2"/>
      <c r="Q192" s="2" t="s">
        <v>1383</v>
      </c>
      <c r="R192" s="2" t="s">
        <v>1384</v>
      </c>
      <c r="S192" s="2" t="s">
        <v>137</v>
      </c>
      <c r="T192" s="2" t="s">
        <v>138</v>
      </c>
      <c r="U192" s="2" t="s">
        <v>1385</v>
      </c>
      <c r="V192" s="2" t="s">
        <v>54</v>
      </c>
      <c r="W192" s="2" t="n">
        <v>43.5</v>
      </c>
      <c r="X192" s="2" t="n">
        <v>25.6</v>
      </c>
      <c r="Y192" s="2" t="s">
        <v>131</v>
      </c>
      <c r="Z192" s="2" t="s">
        <v>1386</v>
      </c>
      <c r="AA192" s="2" t="n">
        <v>4.12498737635543</v>
      </c>
      <c r="AB192" s="2" t="n">
        <v>1.39254599376052</v>
      </c>
      <c r="AC192" s="2" t="n">
        <v>59597.2510904538</v>
      </c>
      <c r="AD192" s="2" t="n">
        <v>262272.657876187</v>
      </c>
      <c r="AE192" s="3" t="n">
        <v>0.227233946432145</v>
      </c>
      <c r="AF192" s="3" t="n">
        <v>-2.13774972003158</v>
      </c>
      <c r="AG192" s="3" t="s">
        <v>57</v>
      </c>
      <c r="AH192" s="2" t="n">
        <v>0.0000278311427972256</v>
      </c>
      <c r="AI192" s="2" t="n">
        <v>0.000703940042646087</v>
      </c>
      <c r="AJ192" s="2" t="n">
        <v>23165.4665195647</v>
      </c>
      <c r="AK192" s="2" t="n">
        <v>92946.4675521547</v>
      </c>
      <c r="AL192" s="2" t="n">
        <v>120041.76226413</v>
      </c>
      <c r="AM192" s="2" t="n">
        <v>60697.899638454</v>
      </c>
      <c r="AN192" s="2" t="n">
        <v>1134.65947796581</v>
      </c>
      <c r="AO192" s="2" t="n">
        <v>294260.812489761</v>
      </c>
      <c r="AP192" s="2" t="n">
        <v>248478.626924608</v>
      </c>
      <c r="AQ192" s="2" t="n">
        <v>272097.460102151</v>
      </c>
      <c r="AR192" s="2" t="n">
        <v>256019.197520992</v>
      </c>
      <c r="AS192" s="2" t="n">
        <v>240507.192343424</v>
      </c>
    </row>
    <row r="193">
      <c r="A193" s="2" t="s">
        <v>1387</v>
      </c>
      <c r="B193" s="2" t="n">
        <v>274.17624823486</v>
      </c>
      <c r="C193" s="2" t="n">
        <v>3.67618333333333</v>
      </c>
      <c r="D193" s="2" t="s">
        <v>59</v>
      </c>
      <c r="E193" s="2" t="s">
        <v>1388</v>
      </c>
      <c r="F193" s="2" t="n">
        <v>262130</v>
      </c>
      <c r="G193" s="5" t="str">
        <f>HYPERLINK("http://funmeta.oebiotech.com/network/262130", "http://funmeta.oebiotech.com/network/262130")</f>
      </c>
      <c r="H193" s="2"/>
      <c r="I193" s="2" t="n">
        <v>19479</v>
      </c>
      <c r="J193" s="2"/>
      <c r="K193" s="2"/>
      <c r="L193" s="2"/>
      <c r="M193" s="2"/>
      <c r="N193" s="2"/>
      <c r="O193" s="2" t="n">
        <v>9856777</v>
      </c>
      <c r="P193" s="2"/>
      <c r="Q193" s="2" t="s">
        <v>1389</v>
      </c>
      <c r="R193" s="2" t="s">
        <v>1390</v>
      </c>
      <c r="S193" s="2" t="s">
        <v>110</v>
      </c>
      <c r="T193" s="2" t="s">
        <v>111</v>
      </c>
      <c r="U193" s="2" t="s">
        <v>112</v>
      </c>
      <c r="V193" s="2" t="s">
        <v>92</v>
      </c>
      <c r="W193" s="2" t="n">
        <v>54.9</v>
      </c>
      <c r="X193" s="2" t="n">
        <v>69.3</v>
      </c>
      <c r="Y193" s="2" t="s">
        <v>248</v>
      </c>
      <c r="Z193" s="2" t="s">
        <v>1391</v>
      </c>
      <c r="AA193" s="2" t="n">
        <v>0.423081207758164</v>
      </c>
      <c r="AB193" s="2" t="n">
        <v>1.38750237246451</v>
      </c>
      <c r="AC193" s="2" t="n">
        <v>66603.6801639662</v>
      </c>
      <c r="AD193" s="2" t="n">
        <v>277337.463636432</v>
      </c>
      <c r="AE193" s="3" t="n">
        <v>0.240153923998088</v>
      </c>
      <c r="AF193" s="3" t="n">
        <v>-2.05796871318552</v>
      </c>
      <c r="AG193" s="3" t="s">
        <v>57</v>
      </c>
      <c r="AH193" s="2" t="n">
        <v>0.000210611817198893</v>
      </c>
      <c r="AI193" s="2" t="n">
        <v>0.00231404602300247</v>
      </c>
      <c r="AJ193" s="2" t="n">
        <v>33205.4871236165</v>
      </c>
      <c r="AK193" s="2" t="n">
        <v>124905.935255226</v>
      </c>
      <c r="AL193" s="2" t="n">
        <v>142415.797624545</v>
      </c>
      <c r="AM193" s="2" t="n">
        <v>31155.8049313522</v>
      </c>
      <c r="AN193" s="2" t="n">
        <v>1335.37588509117</v>
      </c>
      <c r="AO193" s="2" t="n">
        <v>255359.123492559</v>
      </c>
      <c r="AP193" s="2" t="n">
        <v>264731.20461972</v>
      </c>
      <c r="AQ193" s="2" t="n">
        <v>345975.006254286</v>
      </c>
      <c r="AR193" s="2" t="n">
        <v>263257.750407112</v>
      </c>
      <c r="AS193" s="2" t="n">
        <v>257364.233408481</v>
      </c>
    </row>
    <row r="194">
      <c r="A194" s="2" t="s">
        <v>1392</v>
      </c>
      <c r="B194" s="2" t="n">
        <v>845.59990826151</v>
      </c>
      <c r="C194" s="2" t="n">
        <v>8.64666666666667</v>
      </c>
      <c r="D194" s="2" t="s">
        <v>46</v>
      </c>
      <c r="E194" s="2" t="s">
        <v>1393</v>
      </c>
      <c r="F194" s="2" t="n">
        <v>48697</v>
      </c>
      <c r="G194" s="5" t="str">
        <f>HYPERLINK("http://funmeta.oebiotech.com/network/48697", "http://funmeta.oebiotech.com/network/48697")</f>
      </c>
      <c r="H194" s="2" t="s">
        <v>1394</v>
      </c>
      <c r="I194" s="2"/>
      <c r="J194" s="2"/>
      <c r="K194" s="2"/>
      <c r="L194" s="2"/>
      <c r="M194" s="2"/>
      <c r="N194" s="2"/>
      <c r="O194" s="2"/>
      <c r="P194" s="2"/>
      <c r="Q194" s="2" t="s">
        <v>1395</v>
      </c>
      <c r="R194" s="2" t="s">
        <v>1396</v>
      </c>
      <c r="S194" s="2" t="s">
        <v>66</v>
      </c>
      <c r="T194" s="2" t="s">
        <v>211</v>
      </c>
      <c r="U194" s="2" t="s">
        <v>1397</v>
      </c>
      <c r="V194" s="2" t="s">
        <v>54</v>
      </c>
      <c r="W194" s="2" t="n">
        <v>39.2</v>
      </c>
      <c r="X194" s="2" t="n">
        <v>0</v>
      </c>
      <c r="Y194" s="2" t="s">
        <v>438</v>
      </c>
      <c r="Z194" s="2" t="s">
        <v>1398</v>
      </c>
      <c r="AA194" s="2" t="n">
        <v>1.81687357859351</v>
      </c>
      <c r="AB194" s="2" t="n">
        <v>1.38610155051819</v>
      </c>
      <c r="AC194" s="2" t="n">
        <v>356411.395217803</v>
      </c>
      <c r="AD194" s="2" t="n">
        <v>124473.235684881</v>
      </c>
      <c r="AE194" s="4" t="n">
        <v>2.86335767891582</v>
      </c>
      <c r="AF194" s="4" t="n">
        <v>1.51770789715078</v>
      </c>
      <c r="AG194" s="4" t="s">
        <v>72</v>
      </c>
      <c r="AH194" s="2" t="n">
        <v>0.00796680297473026</v>
      </c>
      <c r="AI194" s="2" t="n">
        <v>0.0308766305766662</v>
      </c>
      <c r="AJ194" s="2" t="n">
        <v>497752.133085889</v>
      </c>
      <c r="AK194" s="2" t="n">
        <v>222417.529913954</v>
      </c>
      <c r="AL194" s="2" t="n">
        <v>194633.391910364</v>
      </c>
      <c r="AM194" s="2" t="n">
        <v>361383.679262413</v>
      </c>
      <c r="AN194" s="2" t="n">
        <v>505870.241916395</v>
      </c>
      <c r="AO194" s="2" t="n">
        <v>111535.418593839</v>
      </c>
      <c r="AP194" s="2" t="n">
        <v>141548.631263847</v>
      </c>
      <c r="AQ194" s="2" t="n">
        <v>117489.346822362</v>
      </c>
      <c r="AR194" s="2" t="n">
        <v>139561.432692646</v>
      </c>
      <c r="AS194" s="2" t="n">
        <v>112231.349051712</v>
      </c>
    </row>
    <row r="195">
      <c r="A195" s="2" t="s">
        <v>1399</v>
      </c>
      <c r="B195" s="2" t="n">
        <v>876.506092089385</v>
      </c>
      <c r="C195" s="2" t="n">
        <v>12.82585</v>
      </c>
      <c r="D195" s="2" t="s">
        <v>46</v>
      </c>
      <c r="E195" s="2" t="s">
        <v>1400</v>
      </c>
      <c r="F195" s="2" t="n">
        <v>237468</v>
      </c>
      <c r="G195" s="5" t="str">
        <f>HYPERLINK("http://funmeta.oebiotech.com/network/237468", "http://funmeta.oebiotech.com/network/237468")</f>
      </c>
      <c r="H195" s="2" t="s">
        <v>1401</v>
      </c>
      <c r="I195" s="2"/>
      <c r="J195" s="2"/>
      <c r="K195" s="2"/>
      <c r="L195" s="2"/>
      <c r="M195" s="2"/>
      <c r="N195" s="2"/>
      <c r="O195" s="2"/>
      <c r="P195" s="2"/>
      <c r="Q195" s="2" t="s">
        <v>1402</v>
      </c>
      <c r="R195" s="2" t="s">
        <v>1403</v>
      </c>
      <c r="S195" s="2" t="s">
        <v>77</v>
      </c>
      <c r="T195" s="2" t="s">
        <v>77</v>
      </c>
      <c r="U195" s="2" t="s">
        <v>77</v>
      </c>
      <c r="V195" s="2" t="s">
        <v>54</v>
      </c>
      <c r="W195" s="2" t="n">
        <v>36.5</v>
      </c>
      <c r="X195" s="2" t="n">
        <v>0</v>
      </c>
      <c r="Y195" s="2" t="s">
        <v>310</v>
      </c>
      <c r="Z195" s="2" t="s">
        <v>1404</v>
      </c>
      <c r="AA195" s="2" t="n">
        <v>3.253538848319</v>
      </c>
      <c r="AB195" s="2" t="n">
        <v>1.37769175247054</v>
      </c>
      <c r="AC195" s="2" t="n">
        <v>419603.096441361</v>
      </c>
      <c r="AD195" s="2" t="n">
        <v>157178.556782868</v>
      </c>
      <c r="AE195" s="4" t="n">
        <v>2.66959504546804</v>
      </c>
      <c r="AF195" s="4" t="n">
        <v>1.41662091412113</v>
      </c>
      <c r="AG195" s="4" t="s">
        <v>72</v>
      </c>
      <c r="AH195" s="2" t="n">
        <v>0.0114783379127788</v>
      </c>
      <c r="AI195" s="2" t="n">
        <v>0.0394944847357279</v>
      </c>
      <c r="AJ195" s="2" t="n">
        <v>438444.360655605</v>
      </c>
      <c r="AK195" s="2" t="n">
        <v>194933.753417225</v>
      </c>
      <c r="AL195" s="2" t="n">
        <v>298218.831228853</v>
      </c>
      <c r="AM195" s="2" t="n">
        <v>638154.028763342</v>
      </c>
      <c r="AN195" s="2" t="n">
        <v>528264.508141778</v>
      </c>
      <c r="AO195" s="2" t="n">
        <v>168843.744191921</v>
      </c>
      <c r="AP195" s="2" t="n">
        <v>167054.635819663</v>
      </c>
      <c r="AQ195" s="2" t="n">
        <v>99489.6917602768</v>
      </c>
      <c r="AR195" s="2" t="n">
        <v>171975.838107124</v>
      </c>
      <c r="AS195" s="2" t="n">
        <v>178528.874035355</v>
      </c>
    </row>
    <row r="196">
      <c r="A196" s="2" t="s">
        <v>1405</v>
      </c>
      <c r="B196" s="2" t="n">
        <v>751.242636994838</v>
      </c>
      <c r="C196" s="2" t="n">
        <v>8.64666666666667</v>
      </c>
      <c r="D196" s="2" t="s">
        <v>46</v>
      </c>
      <c r="E196" s="2" t="s">
        <v>1406</v>
      </c>
      <c r="F196" s="2" t="n">
        <v>63527</v>
      </c>
      <c r="G196" s="5" t="str">
        <f>HYPERLINK("http://funmeta.oebiotech.com/network/63527", "http://funmeta.oebiotech.com/network/63527")</f>
      </c>
      <c r="H196" s="2" t="s">
        <v>1407</v>
      </c>
      <c r="I196" s="2"/>
      <c r="J196" s="2"/>
      <c r="K196" s="2"/>
      <c r="L196" s="2"/>
      <c r="M196" s="2"/>
      <c r="N196" s="2"/>
      <c r="O196" s="2" t="n">
        <v>131752796</v>
      </c>
      <c r="P196" s="2" t="s">
        <v>1408</v>
      </c>
      <c r="Q196" s="2" t="s">
        <v>1409</v>
      </c>
      <c r="R196" s="2" t="s">
        <v>1410</v>
      </c>
      <c r="S196" s="2" t="s">
        <v>137</v>
      </c>
      <c r="T196" s="2" t="s">
        <v>138</v>
      </c>
      <c r="U196" s="2" t="s">
        <v>675</v>
      </c>
      <c r="V196" s="2" t="s">
        <v>54</v>
      </c>
      <c r="W196" s="2" t="n">
        <v>37.2</v>
      </c>
      <c r="X196" s="2" t="n">
        <v>0</v>
      </c>
      <c r="Y196" s="2" t="s">
        <v>438</v>
      </c>
      <c r="Z196" s="2" t="s">
        <v>1411</v>
      </c>
      <c r="AA196" s="2" t="n">
        <v>-3.70150299680075</v>
      </c>
      <c r="AB196" s="2" t="n">
        <v>1.37709413904575</v>
      </c>
      <c r="AC196" s="2" t="n">
        <v>338783.461488138</v>
      </c>
      <c r="AD196" s="2" t="n">
        <v>105687.433232006</v>
      </c>
      <c r="AE196" s="4" t="n">
        <v>3.20552265418764</v>
      </c>
      <c r="AF196" s="4" t="n">
        <v>1.68055960462238</v>
      </c>
      <c r="AG196" s="4" t="s">
        <v>72</v>
      </c>
      <c r="AH196" s="2" t="n">
        <v>0.00534237824545084</v>
      </c>
      <c r="AI196" s="2" t="n">
        <v>0.0233978598791793</v>
      </c>
      <c r="AJ196" s="2" t="n">
        <v>427638.88357981</v>
      </c>
      <c r="AK196" s="2" t="n">
        <v>209998.135955435</v>
      </c>
      <c r="AL196" s="2" t="n">
        <v>178161.242433851</v>
      </c>
      <c r="AM196" s="2" t="n">
        <v>389998.780776674</v>
      </c>
      <c r="AN196" s="2" t="n">
        <v>488120.264694918</v>
      </c>
      <c r="AO196" s="2" t="n">
        <v>99143.5214513465</v>
      </c>
      <c r="AP196" s="2" t="n">
        <v>121047.017259312</v>
      </c>
      <c r="AQ196" s="2" t="n">
        <v>96262.7451656785</v>
      </c>
      <c r="AR196" s="2" t="n">
        <v>116952.430647228</v>
      </c>
      <c r="AS196" s="2" t="n">
        <v>95031.4516364633</v>
      </c>
    </row>
    <row r="197">
      <c r="A197" s="2" t="s">
        <v>1412</v>
      </c>
      <c r="B197" s="2" t="n">
        <v>277.155649731326</v>
      </c>
      <c r="C197" s="2" t="n">
        <v>4.52976666666667</v>
      </c>
      <c r="D197" s="2" t="s">
        <v>46</v>
      </c>
      <c r="E197" s="2" t="s">
        <v>1413</v>
      </c>
      <c r="F197" s="2" t="n">
        <v>52226</v>
      </c>
      <c r="G197" s="5" t="str">
        <f>HYPERLINK("http://funmeta.oebiotech.com/network/52226", "http://funmeta.oebiotech.com/network/52226")</f>
      </c>
      <c r="H197" s="2" t="s">
        <v>1414</v>
      </c>
      <c r="I197" s="2" t="n">
        <v>24020</v>
      </c>
      <c r="J197" s="2"/>
      <c r="K197" s="2" t="n">
        <v>73585</v>
      </c>
      <c r="L197" s="2"/>
      <c r="M197" s="2"/>
      <c r="N197" s="2"/>
      <c r="O197" s="2" t="n">
        <v>6992309</v>
      </c>
      <c r="P197" s="2" t="s">
        <v>1415</v>
      </c>
      <c r="Q197" s="2" t="s">
        <v>1416</v>
      </c>
      <c r="R197" s="2" t="s">
        <v>1417</v>
      </c>
      <c r="S197" s="2" t="s">
        <v>110</v>
      </c>
      <c r="T197" s="2" t="s">
        <v>111</v>
      </c>
      <c r="U197" s="2" t="s">
        <v>112</v>
      </c>
      <c r="V197" s="2" t="s">
        <v>122</v>
      </c>
      <c r="W197" s="2" t="n">
        <v>58</v>
      </c>
      <c r="X197" s="2" t="n">
        <v>26.9</v>
      </c>
      <c r="Y197" s="2" t="s">
        <v>55</v>
      </c>
      <c r="Z197" s="2" t="s">
        <v>1418</v>
      </c>
      <c r="AA197" s="2" t="n">
        <v>-0.418497340924541</v>
      </c>
      <c r="AB197" s="2" t="n">
        <v>1.37570695935965</v>
      </c>
      <c r="AC197" s="2" t="n">
        <v>93223.4367279453</v>
      </c>
      <c r="AD197" s="2" t="n">
        <v>320792.047396965</v>
      </c>
      <c r="AE197" s="3" t="n">
        <v>0.290603951950797</v>
      </c>
      <c r="AF197" s="3" t="n">
        <v>-1.78287377243606</v>
      </c>
      <c r="AG197" s="3" t="s">
        <v>57</v>
      </c>
      <c r="AH197" s="2" t="n">
        <v>0.00260350130518342</v>
      </c>
      <c r="AI197" s="2" t="n">
        <v>0.0134501170475722</v>
      </c>
      <c r="AJ197" s="2" t="n">
        <v>73201.3031977273</v>
      </c>
      <c r="AK197" s="2" t="n">
        <v>146336.320412622</v>
      </c>
      <c r="AL197" s="2" t="n">
        <v>140049.498544763</v>
      </c>
      <c r="AM197" s="2" t="n">
        <v>102040.431225409</v>
      </c>
      <c r="AN197" s="2" t="n">
        <v>4489.63025920537</v>
      </c>
      <c r="AO197" s="2" t="n">
        <v>218367.819911945</v>
      </c>
      <c r="AP197" s="2" t="n">
        <v>281838.536139181</v>
      </c>
      <c r="AQ197" s="2" t="n">
        <v>354636.479910564</v>
      </c>
      <c r="AR197" s="2" t="n">
        <v>265873.172108868</v>
      </c>
      <c r="AS197" s="2" t="n">
        <v>483244.228914268</v>
      </c>
    </row>
    <row r="198">
      <c r="A198" s="2" t="s">
        <v>1419</v>
      </c>
      <c r="B198" s="2" t="n">
        <v>601.298823867828</v>
      </c>
      <c r="C198" s="2" t="n">
        <v>7.45995</v>
      </c>
      <c r="D198" s="2" t="s">
        <v>46</v>
      </c>
      <c r="E198" s="2" t="s">
        <v>1420</v>
      </c>
      <c r="F198" s="2" t="n">
        <v>24905</v>
      </c>
      <c r="G198" s="5" t="str">
        <f>HYPERLINK("http://funmeta.oebiotech.com/network/24905", "http://funmeta.oebiotech.com/network/24905")</f>
      </c>
      <c r="H198" s="2"/>
      <c r="I198" s="2"/>
      <c r="J198" s="2" t="s">
        <v>1421</v>
      </c>
      <c r="K198" s="2"/>
      <c r="L198" s="2"/>
      <c r="M198" s="2"/>
      <c r="N198" s="2"/>
      <c r="O198" s="2" t="n">
        <v>52928633</v>
      </c>
      <c r="P198" s="2"/>
      <c r="Q198" s="2" t="s">
        <v>1422</v>
      </c>
      <c r="R198" s="2" t="s">
        <v>1423</v>
      </c>
      <c r="S198" s="2" t="s">
        <v>66</v>
      </c>
      <c r="T198" s="2" t="s">
        <v>129</v>
      </c>
      <c r="U198" s="2" t="s">
        <v>130</v>
      </c>
      <c r="V198" s="2" t="s">
        <v>54</v>
      </c>
      <c r="W198" s="2" t="n">
        <v>38.2</v>
      </c>
      <c r="X198" s="2" t="n">
        <v>0</v>
      </c>
      <c r="Y198" s="2" t="s">
        <v>131</v>
      </c>
      <c r="Z198" s="2" t="s">
        <v>1424</v>
      </c>
      <c r="AA198" s="2" t="n">
        <v>-1.12891848291937</v>
      </c>
      <c r="AB198" s="2" t="n">
        <v>1.37503824785962</v>
      </c>
      <c r="AC198" s="2" t="n">
        <v>1422.07502157395</v>
      </c>
      <c r="AD198" s="2" t="n">
        <v>218144.542022564</v>
      </c>
      <c r="AE198" s="3" t="n">
        <v>0.00651895760668105</v>
      </c>
      <c r="AF198" s="3" t="n">
        <v>-7.26114299135606</v>
      </c>
      <c r="AG198" s="3" t="s">
        <v>57</v>
      </c>
      <c r="AH198" s="2" t="n">
        <v>0.0187266888662647</v>
      </c>
      <c r="AI198" s="2" t="n">
        <v>0.0552004007828527</v>
      </c>
      <c r="AJ198" s="2" t="n">
        <v>0.00000136409140715624</v>
      </c>
      <c r="AK198" s="2" t="n">
        <v>0.00000136409140715624</v>
      </c>
      <c r="AL198" s="2" t="n">
        <v>7110.37510241336</v>
      </c>
      <c r="AM198" s="2" t="n">
        <v>0.00000136409140715624</v>
      </c>
      <c r="AN198" s="2" t="n">
        <v>0.00000136409140715624</v>
      </c>
      <c r="AO198" s="2" t="n">
        <v>286542.956782701</v>
      </c>
      <c r="AP198" s="2" t="n">
        <v>87720.7617475026</v>
      </c>
      <c r="AQ198" s="2" t="n">
        <v>330791.113215264</v>
      </c>
      <c r="AR198" s="2" t="n">
        <v>1754.42839750815</v>
      </c>
      <c r="AS198" s="2" t="n">
        <v>383913.449969842</v>
      </c>
    </row>
    <row r="199">
      <c r="A199" s="2" t="s">
        <v>1425</v>
      </c>
      <c r="B199" s="2" t="n">
        <v>362.208507297846</v>
      </c>
      <c r="C199" s="2" t="n">
        <v>4.24228333333333</v>
      </c>
      <c r="D199" s="2" t="s">
        <v>59</v>
      </c>
      <c r="E199" s="2" t="s">
        <v>1426</v>
      </c>
      <c r="F199" s="2" t="n">
        <v>263538</v>
      </c>
      <c r="G199" s="5" t="str">
        <f>HYPERLINK("http://funmeta.oebiotech.com/network/263538", "http://funmeta.oebiotech.com/network/263538")</f>
      </c>
      <c r="H199" s="2"/>
      <c r="I199" s="2" t="n">
        <v>20955</v>
      </c>
      <c r="J199" s="2"/>
      <c r="K199" s="2"/>
      <c r="L199" s="2"/>
      <c r="M199" s="2"/>
      <c r="N199" s="2"/>
      <c r="O199" s="2" t="n">
        <v>132536963</v>
      </c>
      <c r="P199" s="2"/>
      <c r="Q199" s="2" t="s">
        <v>1427</v>
      </c>
      <c r="R199" s="2" t="s">
        <v>1428</v>
      </c>
      <c r="S199" s="2" t="s">
        <v>110</v>
      </c>
      <c r="T199" s="2" t="s">
        <v>111</v>
      </c>
      <c r="U199" s="2" t="s">
        <v>112</v>
      </c>
      <c r="V199" s="2" t="s">
        <v>54</v>
      </c>
      <c r="W199" s="2" t="n">
        <v>45.8</v>
      </c>
      <c r="X199" s="2" t="n">
        <v>30.4</v>
      </c>
      <c r="Y199" s="2" t="s">
        <v>248</v>
      </c>
      <c r="Z199" s="2" t="s">
        <v>1429</v>
      </c>
      <c r="AA199" s="2" t="n">
        <v>2.97482516799887</v>
      </c>
      <c r="AB199" s="2" t="n">
        <v>1.37458196729909</v>
      </c>
      <c r="AC199" s="2" t="n">
        <v>90062.8835649207</v>
      </c>
      <c r="AD199" s="2" t="n">
        <v>304008.254420454</v>
      </c>
      <c r="AE199" s="3" t="n">
        <v>0.296251441384748</v>
      </c>
      <c r="AF199" s="3" t="n">
        <v>-1.7551059215564</v>
      </c>
      <c r="AG199" s="3" t="s">
        <v>57</v>
      </c>
      <c r="AH199" s="2" t="n">
        <v>0.000292440671255891</v>
      </c>
      <c r="AI199" s="2" t="n">
        <v>0.00285444388400994</v>
      </c>
      <c r="AJ199" s="2" t="n">
        <v>40643.623749768</v>
      </c>
      <c r="AK199" s="2" t="n">
        <v>178315.24224055</v>
      </c>
      <c r="AL199" s="2" t="n">
        <v>137154.490338969</v>
      </c>
      <c r="AM199" s="2" t="n">
        <v>93839.779836982</v>
      </c>
      <c r="AN199" s="2" t="n">
        <v>361.28165833434</v>
      </c>
      <c r="AO199" s="2" t="n">
        <v>312866.442385424</v>
      </c>
      <c r="AP199" s="2" t="n">
        <v>310586.810217046</v>
      </c>
      <c r="AQ199" s="2" t="n">
        <v>327049.734643779</v>
      </c>
      <c r="AR199" s="2" t="n">
        <v>322019.818559802</v>
      </c>
      <c r="AS199" s="2" t="n">
        <v>247518.466296219</v>
      </c>
    </row>
    <row r="200">
      <c r="A200" s="2" t="s">
        <v>1430</v>
      </c>
      <c r="B200" s="2" t="n">
        <v>320.181748193398</v>
      </c>
      <c r="C200" s="2" t="n">
        <v>1.14963333333333</v>
      </c>
      <c r="D200" s="2" t="s">
        <v>59</v>
      </c>
      <c r="E200" s="2" t="s">
        <v>1431</v>
      </c>
      <c r="F200" s="2" t="n">
        <v>264710</v>
      </c>
      <c r="G200" s="5" t="str">
        <f>HYPERLINK("http://funmeta.oebiotech.com/network/264710", "http://funmeta.oebiotech.com/network/264710")</f>
      </c>
      <c r="H200" s="2"/>
      <c r="I200" s="2" t="n">
        <v>22175</v>
      </c>
      <c r="J200" s="2"/>
      <c r="K200" s="2"/>
      <c r="L200" s="2"/>
      <c r="M200" s="2"/>
      <c r="N200" s="2"/>
      <c r="O200" s="2" t="n">
        <v>145456287</v>
      </c>
      <c r="P200" s="2"/>
      <c r="Q200" s="2" t="s">
        <v>1432</v>
      </c>
      <c r="R200" s="2" t="s">
        <v>1433</v>
      </c>
      <c r="S200" s="2" t="s">
        <v>110</v>
      </c>
      <c r="T200" s="2" t="s">
        <v>111</v>
      </c>
      <c r="U200" s="2" t="s">
        <v>112</v>
      </c>
      <c r="V200" s="2" t="s">
        <v>69</v>
      </c>
      <c r="W200" s="2" t="n">
        <v>56</v>
      </c>
      <c r="X200" s="2" t="n">
        <v>82.6</v>
      </c>
      <c r="Y200" s="2" t="s">
        <v>248</v>
      </c>
      <c r="Z200" s="2" t="s">
        <v>1434</v>
      </c>
      <c r="AA200" s="2" t="n">
        <v>0.426813414214506</v>
      </c>
      <c r="AB200" s="2" t="n">
        <v>1.37407246524099</v>
      </c>
      <c r="AC200" s="2" t="n">
        <v>26898.0652840144</v>
      </c>
      <c r="AD200" s="2" t="n">
        <v>220577.624504907</v>
      </c>
      <c r="AE200" s="3" t="n">
        <v>0.121943761722831</v>
      </c>
      <c r="AF200" s="3" t="n">
        <v>-3.03571213881752</v>
      </c>
      <c r="AG200" s="3" t="s">
        <v>57</v>
      </c>
      <c r="AH200" s="2" t="n">
        <v>0.0000852498799326739</v>
      </c>
      <c r="AI200" s="2" t="n">
        <v>0.00129756960105317</v>
      </c>
      <c r="AJ200" s="2" t="n">
        <v>0.00000136409140715624</v>
      </c>
      <c r="AK200" s="2" t="n">
        <v>67268.2524520987</v>
      </c>
      <c r="AL200" s="2" t="n">
        <v>51390.7669757406</v>
      </c>
      <c r="AM200" s="2" t="n">
        <v>15831.3069895047</v>
      </c>
      <c r="AN200" s="2" t="n">
        <v>0.00000136409140715624</v>
      </c>
      <c r="AO200" s="2" t="n">
        <v>200055.048510373</v>
      </c>
      <c r="AP200" s="2" t="n">
        <v>195704.764777162</v>
      </c>
      <c r="AQ200" s="2" t="n">
        <v>291628.296548364</v>
      </c>
      <c r="AR200" s="2" t="n">
        <v>163441.321793967</v>
      </c>
      <c r="AS200" s="2" t="n">
        <v>252058.690894667</v>
      </c>
    </row>
    <row r="201">
      <c r="A201" s="2" t="s">
        <v>1435</v>
      </c>
      <c r="B201" s="2" t="n">
        <v>288.156495132673</v>
      </c>
      <c r="C201" s="2" t="n">
        <v>2.12031666666667</v>
      </c>
      <c r="D201" s="2" t="s">
        <v>46</v>
      </c>
      <c r="E201" s="2" t="s">
        <v>1436</v>
      </c>
      <c r="F201" s="2" t="n">
        <v>260601</v>
      </c>
      <c r="G201" s="5" t="str">
        <f>HYPERLINK("http://funmeta.oebiotech.com/network/260601", "http://funmeta.oebiotech.com/network/260601")</f>
      </c>
      <c r="H201" s="2"/>
      <c r="I201" s="2" t="n">
        <v>17868</v>
      </c>
      <c r="J201" s="2"/>
      <c r="K201" s="2"/>
      <c r="L201" s="2"/>
      <c r="M201" s="2"/>
      <c r="N201" s="2"/>
      <c r="O201" s="2" t="n">
        <v>127046244</v>
      </c>
      <c r="P201" s="2"/>
      <c r="Q201" s="2" t="s">
        <v>1437</v>
      </c>
      <c r="R201" s="2" t="s">
        <v>1438</v>
      </c>
      <c r="S201" s="2" t="s">
        <v>77</v>
      </c>
      <c r="T201" s="2" t="s">
        <v>77</v>
      </c>
      <c r="U201" s="2" t="s">
        <v>77</v>
      </c>
      <c r="V201" s="2" t="s">
        <v>122</v>
      </c>
      <c r="W201" s="2" t="n">
        <v>43.4</v>
      </c>
      <c r="X201" s="2" t="n">
        <v>0</v>
      </c>
      <c r="Y201" s="2" t="s">
        <v>290</v>
      </c>
      <c r="Z201" s="2" t="s">
        <v>1439</v>
      </c>
      <c r="AA201" s="2" t="n">
        <v>0.00247217249867024</v>
      </c>
      <c r="AB201" s="2" t="n">
        <v>1.37026122408906</v>
      </c>
      <c r="AC201" s="2" t="n">
        <v>19642.1540432573</v>
      </c>
      <c r="AD201" s="2" t="n">
        <v>209291.656327626</v>
      </c>
      <c r="AE201" s="3" t="n">
        <v>0.0938506311618527</v>
      </c>
      <c r="AF201" s="3" t="n">
        <v>-3.41348974231034</v>
      </c>
      <c r="AG201" s="3" t="s">
        <v>57</v>
      </c>
      <c r="AH201" s="2" t="n">
        <v>0.00000764293900520965</v>
      </c>
      <c r="AI201" s="2" t="n">
        <v>0.00044494504241367</v>
      </c>
      <c r="AJ201" s="2" t="n">
        <v>4027.95030319838</v>
      </c>
      <c r="AK201" s="2" t="n">
        <v>34641.4294784285</v>
      </c>
      <c r="AL201" s="2" t="n">
        <v>48629.4772045619</v>
      </c>
      <c r="AM201" s="2" t="n">
        <v>10911.9132287334</v>
      </c>
      <c r="AN201" s="2" t="n">
        <v>0.00000136409140715624</v>
      </c>
      <c r="AO201" s="2" t="n">
        <v>221020.614884113</v>
      </c>
      <c r="AP201" s="2" t="n">
        <v>198243.441797749</v>
      </c>
      <c r="AQ201" s="2" t="n">
        <v>265226.172229813</v>
      </c>
      <c r="AR201" s="2" t="n">
        <v>170208.304168122</v>
      </c>
      <c r="AS201" s="2" t="n">
        <v>191759.748558333</v>
      </c>
    </row>
    <row r="202">
      <c r="A202" s="2" t="s">
        <v>1440</v>
      </c>
      <c r="B202" s="2" t="n">
        <v>302.135636636989</v>
      </c>
      <c r="C202" s="2" t="n">
        <v>1.11313333333333</v>
      </c>
      <c r="D202" s="2" t="s">
        <v>46</v>
      </c>
      <c r="E202" s="2" t="s">
        <v>1441</v>
      </c>
      <c r="F202" s="2" t="n">
        <v>259683</v>
      </c>
      <c r="G202" s="5" t="str">
        <f>HYPERLINK("http://funmeta.oebiotech.com/network/259683", "http://funmeta.oebiotech.com/network/259683")</f>
      </c>
      <c r="H202" s="2"/>
      <c r="I202" s="2" t="n">
        <v>16903</v>
      </c>
      <c r="J202" s="2"/>
      <c r="K202" s="2"/>
      <c r="L202" s="2"/>
      <c r="M202" s="2"/>
      <c r="N202" s="2"/>
      <c r="O202" s="2" t="n">
        <v>145457597</v>
      </c>
      <c r="P202" s="2"/>
      <c r="Q202" s="2" t="s">
        <v>1442</v>
      </c>
      <c r="R202" s="2" t="s">
        <v>1443</v>
      </c>
      <c r="S202" s="2" t="s">
        <v>110</v>
      </c>
      <c r="T202" s="2" t="s">
        <v>111</v>
      </c>
      <c r="U202" s="2" t="s">
        <v>112</v>
      </c>
      <c r="V202" s="2" t="s">
        <v>122</v>
      </c>
      <c r="W202" s="2" t="n">
        <v>40.1</v>
      </c>
      <c r="X202" s="2" t="n">
        <v>0</v>
      </c>
      <c r="Y202" s="2" t="s">
        <v>290</v>
      </c>
      <c r="Z202" s="2" t="s">
        <v>555</v>
      </c>
      <c r="AA202" s="2" t="n">
        <v>-0.403559465388265</v>
      </c>
      <c r="AB202" s="2" t="n">
        <v>1.3694494919913</v>
      </c>
      <c r="AC202" s="2" t="n">
        <v>13683.9910271669</v>
      </c>
      <c r="AD202" s="2" t="n">
        <v>202719.49191757</v>
      </c>
      <c r="AE202" s="3" t="n">
        <v>0.0675020980850281</v>
      </c>
      <c r="AF202" s="3" t="n">
        <v>-3.88892384539164</v>
      </c>
      <c r="AG202" s="3" t="s">
        <v>57</v>
      </c>
      <c r="AH202" s="2" t="n">
        <v>0.00000500735466283212</v>
      </c>
      <c r="AI202" s="2" t="n">
        <v>0.00036656625935822</v>
      </c>
      <c r="AJ202" s="2" t="n">
        <v>4324.30343416739</v>
      </c>
      <c r="AK202" s="2" t="n">
        <v>23795.745379278</v>
      </c>
      <c r="AL202" s="2" t="n">
        <v>33131.3309387497</v>
      </c>
      <c r="AM202" s="2" t="n">
        <v>6055.87114088452</v>
      </c>
      <c r="AN202" s="2" t="n">
        <v>1112.7042427548</v>
      </c>
      <c r="AO202" s="2" t="n">
        <v>209877.832335457</v>
      </c>
      <c r="AP202" s="2" t="n">
        <v>179712.68407715</v>
      </c>
      <c r="AQ202" s="2" t="n">
        <v>261835.272763193</v>
      </c>
      <c r="AR202" s="2" t="n">
        <v>166715.384633441</v>
      </c>
      <c r="AS202" s="2" t="n">
        <v>195456.285778609</v>
      </c>
    </row>
    <row r="203">
      <c r="A203" s="2" t="s">
        <v>1444</v>
      </c>
      <c r="B203" s="2" t="n">
        <v>258.055973962982</v>
      </c>
      <c r="C203" s="2" t="n">
        <v>0.73705</v>
      </c>
      <c r="D203" s="2" t="s">
        <v>46</v>
      </c>
      <c r="E203" s="2" t="s">
        <v>1445</v>
      </c>
      <c r="F203" s="2" t="n">
        <v>203633</v>
      </c>
      <c r="G203" s="5" t="str">
        <f>HYPERLINK("http://funmeta.oebiotech.com/network/203633", "http://funmeta.oebiotech.com/network/203633")</f>
      </c>
      <c r="H203" s="2" t="s">
        <v>1446</v>
      </c>
      <c r="I203" s="2"/>
      <c r="J203" s="2"/>
      <c r="K203" s="2"/>
      <c r="L203" s="2"/>
      <c r="M203" s="2"/>
      <c r="N203" s="2"/>
      <c r="O203" s="2" t="n">
        <v>5253499</v>
      </c>
      <c r="P203" s="2"/>
      <c r="Q203" s="2" t="s">
        <v>1447</v>
      </c>
      <c r="R203" s="2" t="s">
        <v>1448</v>
      </c>
      <c r="S203" s="2" t="s">
        <v>360</v>
      </c>
      <c r="T203" s="2" t="s">
        <v>1449</v>
      </c>
      <c r="U203" s="2" t="s">
        <v>77</v>
      </c>
      <c r="V203" s="2" t="s">
        <v>54</v>
      </c>
      <c r="W203" s="2" t="n">
        <v>41</v>
      </c>
      <c r="X203" s="2" t="n">
        <v>14.9</v>
      </c>
      <c r="Y203" s="2" t="s">
        <v>290</v>
      </c>
      <c r="Z203" s="2" t="s">
        <v>1450</v>
      </c>
      <c r="AA203" s="2" t="n">
        <v>2.21369376184173</v>
      </c>
      <c r="AB203" s="2" t="n">
        <v>1.36855338325313</v>
      </c>
      <c r="AC203" s="2" t="n">
        <v>188316.238225153</v>
      </c>
      <c r="AD203" s="2" t="n">
        <v>582461.722859189</v>
      </c>
      <c r="AE203" s="3" t="n">
        <v>0.323310924708916</v>
      </c>
      <c r="AF203" s="3" t="n">
        <v>-1.62900583778807</v>
      </c>
      <c r="AG203" s="3" t="s">
        <v>57</v>
      </c>
      <c r="AH203" s="2" t="n">
        <v>0.0342791887562981</v>
      </c>
      <c r="AI203" s="2" t="n">
        <v>0.082972344531973</v>
      </c>
      <c r="AJ203" s="2" t="n">
        <v>351631.091126261</v>
      </c>
      <c r="AK203" s="2" t="n">
        <v>125634.39255393</v>
      </c>
      <c r="AL203" s="2" t="n">
        <v>151665.866682127</v>
      </c>
      <c r="AM203" s="2" t="n">
        <v>148252.975481144</v>
      </c>
      <c r="AN203" s="2" t="n">
        <v>164396.865282302</v>
      </c>
      <c r="AO203" s="2" t="n">
        <v>408784.827003496</v>
      </c>
      <c r="AP203" s="2" t="n">
        <v>428979.410959538</v>
      </c>
      <c r="AQ203" s="2" t="n">
        <v>577320.037060128</v>
      </c>
      <c r="AR203" s="2" t="n">
        <v>1158169.46860014</v>
      </c>
      <c r="AS203" s="2" t="n">
        <v>339054.870672645</v>
      </c>
    </row>
    <row r="204">
      <c r="A204" s="2" t="s">
        <v>1451</v>
      </c>
      <c r="B204" s="2" t="n">
        <v>359.229123937995</v>
      </c>
      <c r="C204" s="2" t="n">
        <v>4.0394</v>
      </c>
      <c r="D204" s="2" t="s">
        <v>59</v>
      </c>
      <c r="E204" s="2" t="s">
        <v>1452</v>
      </c>
      <c r="F204" s="2" t="n">
        <v>263069</v>
      </c>
      <c r="G204" s="5" t="str">
        <f>HYPERLINK("http://funmeta.oebiotech.com/network/263069", "http://funmeta.oebiotech.com/network/263069")</f>
      </c>
      <c r="H204" s="2"/>
      <c r="I204" s="2" t="n">
        <v>20465</v>
      </c>
      <c r="J204" s="2"/>
      <c r="K204" s="2"/>
      <c r="L204" s="2"/>
      <c r="M204" s="2"/>
      <c r="N204" s="2"/>
      <c r="O204" s="2" t="n">
        <v>145455275</v>
      </c>
      <c r="P204" s="2"/>
      <c r="Q204" s="2" t="s">
        <v>1453</v>
      </c>
      <c r="R204" s="2" t="s">
        <v>1454</v>
      </c>
      <c r="S204" s="2" t="s">
        <v>110</v>
      </c>
      <c r="T204" s="2" t="s">
        <v>111</v>
      </c>
      <c r="U204" s="2" t="s">
        <v>112</v>
      </c>
      <c r="V204" s="2" t="s">
        <v>92</v>
      </c>
      <c r="W204" s="2" t="n">
        <v>51.2</v>
      </c>
      <c r="X204" s="2" t="n">
        <v>50.8</v>
      </c>
      <c r="Y204" s="2" t="s">
        <v>248</v>
      </c>
      <c r="Z204" s="2" t="s">
        <v>1455</v>
      </c>
      <c r="AA204" s="2" t="n">
        <v>0.634877633782929</v>
      </c>
      <c r="AB204" s="2" t="n">
        <v>1.36601226802231</v>
      </c>
      <c r="AC204" s="2" t="n">
        <v>76604.8364922456</v>
      </c>
      <c r="AD204" s="2" t="n">
        <v>280725.299033004</v>
      </c>
      <c r="AE204" s="3" t="n">
        <v>0.272881841273733</v>
      </c>
      <c r="AF204" s="3" t="n">
        <v>-1.87365170018722</v>
      </c>
      <c r="AG204" s="3" t="s">
        <v>57</v>
      </c>
      <c r="AH204" s="2" t="n">
        <v>0.000182298708946541</v>
      </c>
      <c r="AI204" s="2" t="n">
        <v>0.00209054879535563</v>
      </c>
      <c r="AJ204" s="2" t="n">
        <v>30565.6229319408</v>
      </c>
      <c r="AK204" s="2" t="n">
        <v>140015.542756879</v>
      </c>
      <c r="AL204" s="2" t="n">
        <v>148862.719468037</v>
      </c>
      <c r="AM204" s="2" t="n">
        <v>62324.9619064332</v>
      </c>
      <c r="AN204" s="2" t="n">
        <v>1255.33539793818</v>
      </c>
      <c r="AO204" s="2" t="n">
        <v>297676.260643009</v>
      </c>
      <c r="AP204" s="2" t="n">
        <v>303414.2043223</v>
      </c>
      <c r="AQ204" s="2" t="n">
        <v>290104.171159981</v>
      </c>
      <c r="AR204" s="2" t="n">
        <v>266435.637187338</v>
      </c>
      <c r="AS204" s="2" t="n">
        <v>245996.221852394</v>
      </c>
    </row>
    <row r="205">
      <c r="A205" s="2" t="s">
        <v>1456</v>
      </c>
      <c r="B205" s="2" t="n">
        <v>346.161877686169</v>
      </c>
      <c r="C205" s="2" t="n">
        <v>2.37188333333333</v>
      </c>
      <c r="D205" s="2" t="s">
        <v>46</v>
      </c>
      <c r="E205" s="2" t="s">
        <v>1457</v>
      </c>
      <c r="F205" s="2" t="n">
        <v>262505</v>
      </c>
      <c r="G205" s="5" t="str">
        <f>HYPERLINK("http://funmeta.oebiotech.com/network/262505", "http://funmeta.oebiotech.com/network/262505")</f>
      </c>
      <c r="H205" s="2"/>
      <c r="I205" s="2" t="n">
        <v>19869</v>
      </c>
      <c r="J205" s="2"/>
      <c r="K205" s="2"/>
      <c r="L205" s="2"/>
      <c r="M205" s="2"/>
      <c r="N205" s="2"/>
      <c r="O205" s="2" t="n">
        <v>145458112</v>
      </c>
      <c r="P205" s="2"/>
      <c r="Q205" s="2" t="s">
        <v>1458</v>
      </c>
      <c r="R205" s="2" t="s">
        <v>1459</v>
      </c>
      <c r="S205" s="2" t="s">
        <v>77</v>
      </c>
      <c r="T205" s="2" t="s">
        <v>77</v>
      </c>
      <c r="U205" s="2" t="s">
        <v>77</v>
      </c>
      <c r="V205" s="2" t="s">
        <v>122</v>
      </c>
      <c r="W205" s="2" t="n">
        <v>42.1</v>
      </c>
      <c r="X205" s="2" t="n">
        <v>0</v>
      </c>
      <c r="Y205" s="2" t="s">
        <v>290</v>
      </c>
      <c r="Z205" s="2" t="s">
        <v>1157</v>
      </c>
      <c r="AA205" s="2" t="n">
        <v>-0.276622717113917</v>
      </c>
      <c r="AB205" s="2" t="n">
        <v>1.36514690183043</v>
      </c>
      <c r="AC205" s="2" t="n">
        <v>60786.1399168508</v>
      </c>
      <c r="AD205" s="2" t="n">
        <v>253469.338600757</v>
      </c>
      <c r="AE205" s="3" t="n">
        <v>0.239816540542586</v>
      </c>
      <c r="AF205" s="3" t="n">
        <v>-2.05999692764561</v>
      </c>
      <c r="AG205" s="3" t="s">
        <v>57</v>
      </c>
      <c r="AH205" s="2" t="n">
        <v>0.0000441667233898367</v>
      </c>
      <c r="AI205" s="2" t="n">
        <v>0.000895195050599085</v>
      </c>
      <c r="AJ205" s="2" t="n">
        <v>40316.5146332899</v>
      </c>
      <c r="AK205" s="2" t="n">
        <v>84798.6785314446</v>
      </c>
      <c r="AL205" s="2" t="n">
        <v>106299.492016934</v>
      </c>
      <c r="AM205" s="2" t="n">
        <v>68864.2414445413</v>
      </c>
      <c r="AN205" s="2" t="n">
        <v>3651.77295804442</v>
      </c>
      <c r="AO205" s="2" t="n">
        <v>261131.158943265</v>
      </c>
      <c r="AP205" s="2" t="n">
        <v>257087.807163554</v>
      </c>
      <c r="AQ205" s="2" t="n">
        <v>296424.964956756</v>
      </c>
      <c r="AR205" s="2" t="n">
        <v>195901.698356909</v>
      </c>
      <c r="AS205" s="2" t="n">
        <v>256801.063583302</v>
      </c>
    </row>
    <row r="206">
      <c r="A206" s="2" t="s">
        <v>1460</v>
      </c>
      <c r="B206" s="2" t="n">
        <v>262.118894334708</v>
      </c>
      <c r="C206" s="2" t="n">
        <v>4.00308333333333</v>
      </c>
      <c r="D206" s="2" t="s">
        <v>59</v>
      </c>
      <c r="E206" s="2" t="s">
        <v>1461</v>
      </c>
      <c r="F206" s="2" t="n">
        <v>53879</v>
      </c>
      <c r="G206" s="5" t="str">
        <f>HYPERLINK("http://funmeta.oebiotech.com/network/53879", "http://funmeta.oebiotech.com/network/53879")</f>
      </c>
      <c r="H206" s="2" t="s">
        <v>1462</v>
      </c>
      <c r="I206" s="2"/>
      <c r="J206" s="2"/>
      <c r="K206" s="2"/>
      <c r="L206" s="2"/>
      <c r="M206" s="2"/>
      <c r="N206" s="2"/>
      <c r="O206" s="2" t="n">
        <v>102763</v>
      </c>
      <c r="P206" s="2"/>
      <c r="Q206" s="2" t="s">
        <v>1463</v>
      </c>
      <c r="R206" s="2" t="s">
        <v>1464</v>
      </c>
      <c r="S206" s="2" t="s">
        <v>110</v>
      </c>
      <c r="T206" s="2" t="s">
        <v>111</v>
      </c>
      <c r="U206" s="2" t="s">
        <v>112</v>
      </c>
      <c r="V206" s="2" t="s">
        <v>92</v>
      </c>
      <c r="W206" s="2" t="n">
        <v>62.8</v>
      </c>
      <c r="X206" s="2" t="n">
        <v>93</v>
      </c>
      <c r="Y206" s="2" t="s">
        <v>236</v>
      </c>
      <c r="Z206" s="2" t="s">
        <v>1465</v>
      </c>
      <c r="AA206" s="2" t="n">
        <v>1.05912127959549</v>
      </c>
      <c r="AB206" s="2" t="n">
        <v>1.36439723726497</v>
      </c>
      <c r="AC206" s="2" t="n">
        <v>155688.222488608</v>
      </c>
      <c r="AD206" s="2" t="n">
        <v>367586.17769614</v>
      </c>
      <c r="AE206" s="3" t="n">
        <v>0.423542102329281</v>
      </c>
      <c r="AF206" s="3" t="n">
        <v>-1.23942270666971</v>
      </c>
      <c r="AG206" s="3" t="s">
        <v>57</v>
      </c>
      <c r="AH206" s="2" t="n">
        <v>0.000885053093575944</v>
      </c>
      <c r="AI206" s="2" t="n">
        <v>0.00618926155489082</v>
      </c>
      <c r="AJ206" s="2" t="n">
        <v>139404.847603254</v>
      </c>
      <c r="AK206" s="2" t="n">
        <v>213783.029856781</v>
      </c>
      <c r="AL206" s="2" t="n">
        <v>253461.357979833</v>
      </c>
      <c r="AM206" s="2" t="n">
        <v>136080.562090708</v>
      </c>
      <c r="AN206" s="2" t="n">
        <v>35711.3149124625</v>
      </c>
      <c r="AO206" s="2" t="n">
        <v>369658.738532143</v>
      </c>
      <c r="AP206" s="2" t="n">
        <v>347352.960667209</v>
      </c>
      <c r="AQ206" s="2" t="n">
        <v>400056.952119109</v>
      </c>
      <c r="AR206" s="2" t="n">
        <v>313311.90174055</v>
      </c>
      <c r="AS206" s="2" t="n">
        <v>407550.335421687</v>
      </c>
    </row>
    <row r="207">
      <c r="A207" s="2" t="s">
        <v>1466</v>
      </c>
      <c r="B207" s="2" t="n">
        <v>304.114826903051</v>
      </c>
      <c r="C207" s="2" t="n">
        <v>0.753366666666667</v>
      </c>
      <c r="D207" s="2" t="s">
        <v>46</v>
      </c>
      <c r="E207" s="2" t="s">
        <v>1467</v>
      </c>
      <c r="F207" s="2" t="n">
        <v>53901</v>
      </c>
      <c r="G207" s="5" t="str">
        <f>HYPERLINK("http://funmeta.oebiotech.com/network/53901", "http://funmeta.oebiotech.com/network/53901")</f>
      </c>
      <c r="H207" s="2" t="s">
        <v>1468</v>
      </c>
      <c r="I207" s="2" t="n">
        <v>85783</v>
      </c>
      <c r="J207" s="2"/>
      <c r="K207" s="2" t="n">
        <v>173850</v>
      </c>
      <c r="L207" s="2"/>
      <c r="M207" s="2"/>
      <c r="N207" s="2"/>
      <c r="O207" s="2" t="n">
        <v>131750768</v>
      </c>
      <c r="P207" s="2"/>
      <c r="Q207" s="2" t="s">
        <v>1469</v>
      </c>
      <c r="R207" s="2" t="s">
        <v>1470</v>
      </c>
      <c r="S207" s="2" t="s">
        <v>110</v>
      </c>
      <c r="T207" s="2" t="s">
        <v>111</v>
      </c>
      <c r="U207" s="2" t="s">
        <v>112</v>
      </c>
      <c r="V207" s="2" t="s">
        <v>92</v>
      </c>
      <c r="W207" s="2" t="n">
        <v>51</v>
      </c>
      <c r="X207" s="2" t="n">
        <v>49.8</v>
      </c>
      <c r="Y207" s="2" t="s">
        <v>131</v>
      </c>
      <c r="Z207" s="2" t="s">
        <v>1471</v>
      </c>
      <c r="AA207" s="2" t="n">
        <v>-0.758825066788848</v>
      </c>
      <c r="AB207" s="2" t="n">
        <v>1.36093664241974</v>
      </c>
      <c r="AC207" s="2" t="n">
        <v>37481.2726377557</v>
      </c>
      <c r="AD207" s="2" t="n">
        <v>225813.060090614</v>
      </c>
      <c r="AE207" s="3" t="n">
        <v>0.165983635413803</v>
      </c>
      <c r="AF207" s="3" t="n">
        <v>-2.59088708386422</v>
      </c>
      <c r="AG207" s="3" t="s">
        <v>57</v>
      </c>
      <c r="AH207" s="2" t="n">
        <v>0.0000166183195039778</v>
      </c>
      <c r="AI207" s="2" t="n">
        <v>0.000555465006747042</v>
      </c>
      <c r="AJ207" s="2" t="n">
        <v>36731.1916577884</v>
      </c>
      <c r="AK207" s="2" t="n">
        <v>47446.4273417075</v>
      </c>
      <c r="AL207" s="2" t="n">
        <v>50848.0208711177</v>
      </c>
      <c r="AM207" s="2" t="n">
        <v>47511.8162055642</v>
      </c>
      <c r="AN207" s="2" t="n">
        <v>4868.90711260055</v>
      </c>
      <c r="AO207" s="2" t="n">
        <v>237185.710911124</v>
      </c>
      <c r="AP207" s="2" t="n">
        <v>210868.907494494</v>
      </c>
      <c r="AQ207" s="2" t="n">
        <v>273237.094114096</v>
      </c>
      <c r="AR207" s="2" t="n">
        <v>162075.679229457</v>
      </c>
      <c r="AS207" s="2" t="n">
        <v>245697.908703901</v>
      </c>
    </row>
    <row r="208">
      <c r="A208" s="2" t="s">
        <v>1472</v>
      </c>
      <c r="B208" s="2" t="n">
        <v>468.345409496602</v>
      </c>
      <c r="C208" s="2" t="n">
        <v>11.7335833333333</v>
      </c>
      <c r="D208" s="2" t="s">
        <v>59</v>
      </c>
      <c r="E208" s="2" t="s">
        <v>1473</v>
      </c>
      <c r="F208" s="2" t="n">
        <v>21238</v>
      </c>
      <c r="G208" s="5" t="str">
        <f>HYPERLINK("http://funmeta.oebiotech.com/network/21238", "http://funmeta.oebiotech.com/network/21238")</f>
      </c>
      <c r="H208" s="2"/>
      <c r="I208" s="2" t="n">
        <v>46717</v>
      </c>
      <c r="J208" s="2" t="s">
        <v>1474</v>
      </c>
      <c r="K208" s="2" t="n">
        <v>138426</v>
      </c>
      <c r="L208" s="2"/>
      <c r="M208" s="2"/>
      <c r="N208" s="2"/>
      <c r="O208" s="2" t="n">
        <v>42607467</v>
      </c>
      <c r="P208" s="2"/>
      <c r="Q208" s="2" t="s">
        <v>1475</v>
      </c>
      <c r="R208" s="2" t="s">
        <v>1476</v>
      </c>
      <c r="S208" s="2" t="s">
        <v>66</v>
      </c>
      <c r="T208" s="2" t="s">
        <v>129</v>
      </c>
      <c r="U208" s="2" t="s">
        <v>1477</v>
      </c>
      <c r="V208" s="2" t="s">
        <v>92</v>
      </c>
      <c r="W208" s="2" t="n">
        <v>59</v>
      </c>
      <c r="X208" s="2" t="n">
        <v>72.8</v>
      </c>
      <c r="Y208" s="2" t="s">
        <v>332</v>
      </c>
      <c r="Z208" s="2" t="s">
        <v>1478</v>
      </c>
      <c r="AA208" s="2" t="n">
        <v>1.19423083291303</v>
      </c>
      <c r="AB208" s="2" t="n">
        <v>1.35904699212323</v>
      </c>
      <c r="AC208" s="2" t="n">
        <v>273494.04881816</v>
      </c>
      <c r="AD208" s="2" t="n">
        <v>30077.6903231011</v>
      </c>
      <c r="AE208" s="4" t="n">
        <v>9.09292056272362</v>
      </c>
      <c r="AF208" s="4" t="n">
        <v>3.18474374927304</v>
      </c>
      <c r="AG208" s="4" t="s">
        <v>72</v>
      </c>
      <c r="AH208" s="2" t="n">
        <v>0.0211959310304883</v>
      </c>
      <c r="AI208" s="2" t="n">
        <v>0.0598882140012833</v>
      </c>
      <c r="AJ208" s="2" t="n">
        <v>486624.166904301</v>
      </c>
      <c r="AK208" s="2" t="n">
        <v>58935.0127946673</v>
      </c>
      <c r="AL208" s="2" t="n">
        <v>163540.161805822</v>
      </c>
      <c r="AM208" s="2" t="n">
        <v>202481.15270705</v>
      </c>
      <c r="AN208" s="2" t="n">
        <v>455889.749878958</v>
      </c>
      <c r="AO208" s="2" t="n">
        <v>24614.776648789</v>
      </c>
      <c r="AP208" s="2" t="n">
        <v>35454.5924461413</v>
      </c>
      <c r="AQ208" s="2" t="n">
        <v>75082.930029263</v>
      </c>
      <c r="AR208" s="2" t="n">
        <v>13142.9544976265</v>
      </c>
      <c r="AS208" s="2" t="n">
        <v>2093.19799368589</v>
      </c>
    </row>
    <row r="209">
      <c r="A209" s="2" t="s">
        <v>1479</v>
      </c>
      <c r="B209" s="2" t="n">
        <v>376.171650769497</v>
      </c>
      <c r="C209" s="2" t="n">
        <v>1.13298333333333</v>
      </c>
      <c r="D209" s="2" t="s">
        <v>59</v>
      </c>
      <c r="E209" s="2" t="s">
        <v>1480</v>
      </c>
      <c r="F209" s="2" t="n">
        <v>263882</v>
      </c>
      <c r="G209" s="5" t="str">
        <f>HYPERLINK("http://funmeta.oebiotech.com/network/263882", "http://funmeta.oebiotech.com/network/263882")</f>
      </c>
      <c r="H209" s="2"/>
      <c r="I209" s="2" t="n">
        <v>21318</v>
      </c>
      <c r="J209" s="2"/>
      <c r="K209" s="2"/>
      <c r="L209" s="2"/>
      <c r="M209" s="2"/>
      <c r="N209" s="2"/>
      <c r="O209" s="2" t="n">
        <v>10292841</v>
      </c>
      <c r="P209" s="2"/>
      <c r="Q209" s="2" t="s">
        <v>1481</v>
      </c>
      <c r="R209" s="2" t="s">
        <v>1482</v>
      </c>
      <c r="S209" s="2" t="s">
        <v>110</v>
      </c>
      <c r="T209" s="2" t="s">
        <v>111</v>
      </c>
      <c r="U209" s="2" t="s">
        <v>112</v>
      </c>
      <c r="V209" s="2" t="s">
        <v>92</v>
      </c>
      <c r="W209" s="2" t="n">
        <v>52.8</v>
      </c>
      <c r="X209" s="2" t="n">
        <v>61.9</v>
      </c>
      <c r="Y209" s="2" t="s">
        <v>248</v>
      </c>
      <c r="Z209" s="2" t="s">
        <v>769</v>
      </c>
      <c r="AA209" s="2" t="n">
        <v>0.558595107078661</v>
      </c>
      <c r="AB209" s="2" t="n">
        <v>1.35447339902016</v>
      </c>
      <c r="AC209" s="2" t="n">
        <v>37586.7085217264</v>
      </c>
      <c r="AD209" s="2" t="n">
        <v>228539.045140519</v>
      </c>
      <c r="AE209" s="3" t="n">
        <v>0.164465150795637</v>
      </c>
      <c r="AF209" s="3" t="n">
        <v>-2.60414617719198</v>
      </c>
      <c r="AG209" s="3" t="s">
        <v>57</v>
      </c>
      <c r="AH209" s="2" t="n">
        <v>0.00000881735300461836</v>
      </c>
      <c r="AI209" s="2" t="n">
        <v>0.000461771042216647</v>
      </c>
      <c r="AJ209" s="2" t="n">
        <v>14520.9644606213</v>
      </c>
      <c r="AK209" s="2" t="n">
        <v>73620.6662261188</v>
      </c>
      <c r="AL209" s="2" t="n">
        <v>69571.0032640098</v>
      </c>
      <c r="AM209" s="2" t="n">
        <v>30220.9086565182</v>
      </c>
      <c r="AN209" s="2" t="n">
        <v>0.00000136409140715624</v>
      </c>
      <c r="AO209" s="2" t="n">
        <v>201563.915799442</v>
      </c>
      <c r="AP209" s="2" t="n">
        <v>215139.105429054</v>
      </c>
      <c r="AQ209" s="2" t="n">
        <v>264367.807048712</v>
      </c>
      <c r="AR209" s="2" t="n">
        <v>210250.646730316</v>
      </c>
      <c r="AS209" s="2" t="n">
        <v>251373.750695072</v>
      </c>
    </row>
    <row r="210">
      <c r="A210" s="2" t="s">
        <v>1483</v>
      </c>
      <c r="B210" s="2" t="n">
        <v>342.098964160837</v>
      </c>
      <c r="C210" s="2" t="n">
        <v>5.7884</v>
      </c>
      <c r="D210" s="2" t="s">
        <v>46</v>
      </c>
      <c r="E210" s="2" t="s">
        <v>1484</v>
      </c>
      <c r="F210" s="2" t="n">
        <v>62086</v>
      </c>
      <c r="G210" s="5" t="str">
        <f>HYPERLINK("http://funmeta.oebiotech.com/network/62086", "http://funmeta.oebiotech.com/network/62086")</f>
      </c>
      <c r="H210" s="2" t="s">
        <v>1485</v>
      </c>
      <c r="I210" s="2" t="n">
        <v>93378</v>
      </c>
      <c r="J210" s="2"/>
      <c r="K210" s="2" t="n">
        <v>169192</v>
      </c>
      <c r="L210" s="2"/>
      <c r="M210" s="2"/>
      <c r="N210" s="2"/>
      <c r="O210" s="2" t="n">
        <v>22297560</v>
      </c>
      <c r="P210" s="2"/>
      <c r="Q210" s="2" t="s">
        <v>1486</v>
      </c>
      <c r="R210" s="2" t="s">
        <v>1487</v>
      </c>
      <c r="S210" s="2" t="s">
        <v>51</v>
      </c>
      <c r="T210" s="2" t="s">
        <v>1488</v>
      </c>
      <c r="U210" s="2" t="s">
        <v>1489</v>
      </c>
      <c r="V210" s="2" t="s">
        <v>122</v>
      </c>
      <c r="W210" s="2" t="n">
        <v>40.3</v>
      </c>
      <c r="X210" s="2" t="n">
        <v>0</v>
      </c>
      <c r="Y210" s="2" t="s">
        <v>131</v>
      </c>
      <c r="Z210" s="2" t="s">
        <v>1490</v>
      </c>
      <c r="AA210" s="2" t="n">
        <v>2.19901215015838</v>
      </c>
      <c r="AB210" s="2" t="n">
        <v>1.35407680468271</v>
      </c>
      <c r="AC210" s="2" t="n">
        <v>54998.1296429216</v>
      </c>
      <c r="AD210" s="2" t="n">
        <v>312904.617587854</v>
      </c>
      <c r="AE210" s="3" t="n">
        <v>0.175766436644163</v>
      </c>
      <c r="AF210" s="3" t="n">
        <v>-2.50826848691965</v>
      </c>
      <c r="AG210" s="3" t="s">
        <v>57</v>
      </c>
      <c r="AH210" s="2" t="n">
        <v>0.0466101531879231</v>
      </c>
      <c r="AI210" s="2" t="n">
        <v>0.100233210158249</v>
      </c>
      <c r="AJ210" s="2" t="n">
        <v>29042.8103791727</v>
      </c>
      <c r="AK210" s="2" t="n">
        <v>17145.252278549</v>
      </c>
      <c r="AL210" s="2" t="n">
        <v>195116.545656092</v>
      </c>
      <c r="AM210" s="2" t="n">
        <v>33250.1895287767</v>
      </c>
      <c r="AN210" s="2" t="n">
        <v>435.850372017768</v>
      </c>
      <c r="AO210" s="2" t="n">
        <v>251083.705549542</v>
      </c>
      <c r="AP210" s="2" t="n">
        <v>331282.135819145</v>
      </c>
      <c r="AQ210" s="2" t="n">
        <v>230800.898011833</v>
      </c>
      <c r="AR210" s="2" t="n">
        <v>62055.2915439407</v>
      </c>
      <c r="AS210" s="2" t="n">
        <v>689301.057014807</v>
      </c>
    </row>
    <row r="211">
      <c r="A211" s="2" t="s">
        <v>1491</v>
      </c>
      <c r="B211" s="2" t="n">
        <v>244.129733808654</v>
      </c>
      <c r="C211" s="2" t="n">
        <v>0.77065</v>
      </c>
      <c r="D211" s="2" t="s">
        <v>46</v>
      </c>
      <c r="E211" s="2" t="s">
        <v>1492</v>
      </c>
      <c r="F211" s="2" t="n">
        <v>54136</v>
      </c>
      <c r="G211" s="5" t="str">
        <f>HYPERLINK("http://funmeta.oebiotech.com/network/54136", "http://funmeta.oebiotech.com/network/54136")</f>
      </c>
      <c r="H211" s="2" t="s">
        <v>1493</v>
      </c>
      <c r="I211" s="2" t="n">
        <v>86017</v>
      </c>
      <c r="J211" s="2"/>
      <c r="K211" s="2" t="n">
        <v>75010</v>
      </c>
      <c r="L211" s="2"/>
      <c r="M211" s="2"/>
      <c r="N211" s="2"/>
      <c r="O211" s="2" t="n">
        <v>7016044</v>
      </c>
      <c r="P211" s="2" t="s">
        <v>1494</v>
      </c>
      <c r="Q211" s="2" t="s">
        <v>1495</v>
      </c>
      <c r="R211" s="2" t="s">
        <v>1496</v>
      </c>
      <c r="S211" s="2" t="s">
        <v>110</v>
      </c>
      <c r="T211" s="2" t="s">
        <v>111</v>
      </c>
      <c r="U211" s="2" t="s">
        <v>112</v>
      </c>
      <c r="V211" s="2" t="s">
        <v>69</v>
      </c>
      <c r="W211" s="2" t="n">
        <v>48.3</v>
      </c>
      <c r="X211" s="2" t="n">
        <v>54.7</v>
      </c>
      <c r="Y211" s="2" t="s">
        <v>1497</v>
      </c>
      <c r="Z211" s="2" t="s">
        <v>634</v>
      </c>
      <c r="AA211" s="2" t="n">
        <v>-2.22675515060875</v>
      </c>
      <c r="AB211" s="2" t="n">
        <v>1.35219310571673</v>
      </c>
      <c r="AC211" s="2" t="n">
        <v>63542.2247035511</v>
      </c>
      <c r="AD211" s="2" t="n">
        <v>264958.717281064</v>
      </c>
      <c r="AE211" s="3" t="n">
        <v>0.2398193399923</v>
      </c>
      <c r="AF211" s="3" t="n">
        <v>-2.05998008673615</v>
      </c>
      <c r="AG211" s="3" t="s">
        <v>57</v>
      </c>
      <c r="AH211" s="2" t="n">
        <v>0.00144022462667498</v>
      </c>
      <c r="AI211" s="2" t="n">
        <v>0.00868283571225865</v>
      </c>
      <c r="AJ211" s="2" t="n">
        <v>55525.961512686</v>
      </c>
      <c r="AK211" s="2" t="n">
        <v>96135.794463246</v>
      </c>
      <c r="AL211" s="2" t="n">
        <v>110808.986181804</v>
      </c>
      <c r="AM211" s="2" t="n">
        <v>51008.7713220018</v>
      </c>
      <c r="AN211" s="2" t="n">
        <v>4231.61003801755</v>
      </c>
      <c r="AO211" s="2" t="n">
        <v>229400.09207552</v>
      </c>
      <c r="AP211" s="2" t="n">
        <v>217591.574484664</v>
      </c>
      <c r="AQ211" s="2" t="n">
        <v>371345.153779931</v>
      </c>
      <c r="AR211" s="2" t="n">
        <v>170212.812926454</v>
      </c>
      <c r="AS211" s="2" t="n">
        <v>336243.953138749</v>
      </c>
    </row>
    <row r="212">
      <c r="A212" s="2" t="s">
        <v>1498</v>
      </c>
      <c r="B212" s="2" t="n">
        <v>316.223483592266</v>
      </c>
      <c r="C212" s="2" t="n">
        <v>3.96693333333333</v>
      </c>
      <c r="D212" s="2" t="s">
        <v>59</v>
      </c>
      <c r="E212" s="2" t="s">
        <v>1499</v>
      </c>
      <c r="F212" s="2" t="n">
        <v>261940</v>
      </c>
      <c r="G212" s="5" t="str">
        <f>HYPERLINK("http://funmeta.oebiotech.com/network/261940", "http://funmeta.oebiotech.com/network/261940")</f>
      </c>
      <c r="H212" s="2"/>
      <c r="I212" s="2" t="n">
        <v>19277</v>
      </c>
      <c r="J212" s="2"/>
      <c r="K212" s="2"/>
      <c r="L212" s="2"/>
      <c r="M212" s="2"/>
      <c r="N212" s="2"/>
      <c r="O212" s="2" t="n">
        <v>145456186</v>
      </c>
      <c r="P212" s="2"/>
      <c r="Q212" s="2" t="s">
        <v>1500</v>
      </c>
      <c r="R212" s="2" t="s">
        <v>1501</v>
      </c>
      <c r="S212" s="2" t="s">
        <v>110</v>
      </c>
      <c r="T212" s="2" t="s">
        <v>111</v>
      </c>
      <c r="U212" s="2" t="s">
        <v>112</v>
      </c>
      <c r="V212" s="2" t="s">
        <v>92</v>
      </c>
      <c r="W212" s="2" t="n">
        <v>66.1</v>
      </c>
      <c r="X212" s="2" t="n">
        <v>58.4</v>
      </c>
      <c r="Y212" s="2" t="s">
        <v>248</v>
      </c>
      <c r="Z212" s="2" t="s">
        <v>1502</v>
      </c>
      <c r="AA212" s="2" t="n">
        <v>1.27131186776451</v>
      </c>
      <c r="AB212" s="2" t="n">
        <v>1.3505833592566</v>
      </c>
      <c r="AC212" s="2" t="n">
        <v>63604.4951603213</v>
      </c>
      <c r="AD212" s="2" t="n">
        <v>261320.397538578</v>
      </c>
      <c r="AE212" s="3" t="n">
        <v>0.243396595747684</v>
      </c>
      <c r="AF212" s="3" t="n">
        <v>-2.03861910486481</v>
      </c>
      <c r="AG212" s="3" t="s">
        <v>57</v>
      </c>
      <c r="AH212" s="2" t="n">
        <v>0.000226362980410086</v>
      </c>
      <c r="AI212" s="2" t="n">
        <v>0.00241618773261039</v>
      </c>
      <c r="AJ212" s="2" t="n">
        <v>20159.2827265093</v>
      </c>
      <c r="AK212" s="2" t="n">
        <v>148223.459234159</v>
      </c>
      <c r="AL212" s="2" t="n">
        <v>116546.868720794</v>
      </c>
      <c r="AM212" s="2" t="n">
        <v>32552.2021019686</v>
      </c>
      <c r="AN212" s="2" t="n">
        <v>540.663018175624</v>
      </c>
      <c r="AO212" s="2" t="n">
        <v>274757.671376317</v>
      </c>
      <c r="AP212" s="2" t="n">
        <v>272288.954237123</v>
      </c>
      <c r="AQ212" s="2" t="n">
        <v>291874.40887758</v>
      </c>
      <c r="AR212" s="2" t="n">
        <v>233670.821891035</v>
      </c>
      <c r="AS212" s="2" t="n">
        <v>234010.131310834</v>
      </c>
    </row>
    <row r="213">
      <c r="A213" s="2" t="s">
        <v>1503</v>
      </c>
      <c r="B213" s="2" t="n">
        <v>146.060207250048</v>
      </c>
      <c r="C213" s="2" t="n">
        <v>3.64293333333333</v>
      </c>
      <c r="D213" s="2" t="s">
        <v>59</v>
      </c>
      <c r="E213" s="2" t="s">
        <v>1504</v>
      </c>
      <c r="F213" s="2" t="n">
        <v>551139</v>
      </c>
      <c r="G213" s="5" t="str">
        <f>HYPERLINK("http://funmeta.oebiotech.com/network/551139", "http://funmeta.oebiotech.com/network/551139")</f>
      </c>
      <c r="H213" s="2"/>
      <c r="I213" s="2" t="n">
        <v>96392</v>
      </c>
      <c r="J213" s="2"/>
      <c r="K213" s="2"/>
      <c r="L213" s="2"/>
      <c r="M213" s="2"/>
      <c r="N213" s="2"/>
      <c r="O213" s="2"/>
      <c r="P213" s="2"/>
      <c r="Q213" s="2" t="s">
        <v>1505</v>
      </c>
      <c r="R213" s="2" t="s">
        <v>1506</v>
      </c>
      <c r="S213" s="2" t="s">
        <v>77</v>
      </c>
      <c r="T213" s="2" t="s">
        <v>77</v>
      </c>
      <c r="U213" s="2" t="s">
        <v>77</v>
      </c>
      <c r="V213" s="2" t="s">
        <v>69</v>
      </c>
      <c r="W213" s="2" t="n">
        <v>55.8</v>
      </c>
      <c r="X213" s="2" t="n">
        <v>81.5</v>
      </c>
      <c r="Y213" s="2" t="s">
        <v>248</v>
      </c>
      <c r="Z213" s="2" t="s">
        <v>1507</v>
      </c>
      <c r="AA213" s="2" t="n">
        <v>1.15109283923836</v>
      </c>
      <c r="AB213" s="2" t="n">
        <v>1.34911097664167</v>
      </c>
      <c r="AC213" s="2" t="n">
        <v>335591.431002306</v>
      </c>
      <c r="AD213" s="2" t="n">
        <v>538424.511330387</v>
      </c>
      <c r="AE213" s="3" t="n">
        <v>0.623284088930307</v>
      </c>
      <c r="AF213" s="3" t="n">
        <v>-0.682038210494625</v>
      </c>
      <c r="AG213" s="3" t="s">
        <v>57</v>
      </c>
      <c r="AH213" s="2" t="n">
        <v>0.0000458445774392782</v>
      </c>
      <c r="AI213" s="2" t="n">
        <v>0.000916891548785565</v>
      </c>
      <c r="AJ213" s="2" t="n">
        <v>356429.580880238</v>
      </c>
      <c r="AK213" s="2" t="n">
        <v>346590.299660757</v>
      </c>
      <c r="AL213" s="2" t="n">
        <v>343494.57033621</v>
      </c>
      <c r="AM213" s="2" t="n">
        <v>368250.865798694</v>
      </c>
      <c r="AN213" s="2" t="n">
        <v>263191.838335629</v>
      </c>
      <c r="AO213" s="2" t="n">
        <v>505875.430926944</v>
      </c>
      <c r="AP213" s="2" t="n">
        <v>521455.290809057</v>
      </c>
      <c r="AQ213" s="2" t="n">
        <v>605345.450405596</v>
      </c>
      <c r="AR213" s="2" t="n">
        <v>521709.68118718</v>
      </c>
      <c r="AS213" s="2" t="n">
        <v>537736.703323156</v>
      </c>
    </row>
    <row r="214">
      <c r="A214" s="2" t="s">
        <v>1508</v>
      </c>
      <c r="B214" s="2" t="n">
        <v>316.151279784943</v>
      </c>
      <c r="C214" s="2" t="n">
        <v>3.1606</v>
      </c>
      <c r="D214" s="2" t="s">
        <v>46</v>
      </c>
      <c r="E214" s="2" t="s">
        <v>1509</v>
      </c>
      <c r="F214" s="2" t="n">
        <v>263787</v>
      </c>
      <c r="G214" s="5" t="str">
        <f>HYPERLINK("http://funmeta.oebiotech.com/network/263787", "http://funmeta.oebiotech.com/network/263787")</f>
      </c>
      <c r="H214" s="2"/>
      <c r="I214" s="2" t="n">
        <v>21215</v>
      </c>
      <c r="J214" s="2"/>
      <c r="K214" s="2"/>
      <c r="L214" s="2"/>
      <c r="M214" s="2"/>
      <c r="N214" s="2"/>
      <c r="O214" s="2" t="n">
        <v>145454459</v>
      </c>
      <c r="P214" s="2"/>
      <c r="Q214" s="2" t="s">
        <v>1510</v>
      </c>
      <c r="R214" s="2" t="s">
        <v>1511</v>
      </c>
      <c r="S214" s="2" t="s">
        <v>110</v>
      </c>
      <c r="T214" s="2" t="s">
        <v>111</v>
      </c>
      <c r="U214" s="2" t="s">
        <v>112</v>
      </c>
      <c r="V214" s="2" t="s">
        <v>122</v>
      </c>
      <c r="W214" s="2" t="n">
        <v>40.3</v>
      </c>
      <c r="X214" s="2" t="n">
        <v>0</v>
      </c>
      <c r="Y214" s="2" t="s">
        <v>290</v>
      </c>
      <c r="Z214" s="2" t="s">
        <v>350</v>
      </c>
      <c r="AA214" s="2" t="n">
        <v>-0.40753235753614</v>
      </c>
      <c r="AB214" s="2" t="n">
        <v>1.33385565913531</v>
      </c>
      <c r="AC214" s="2" t="n">
        <v>59975.0180013772</v>
      </c>
      <c r="AD214" s="2" t="n">
        <v>246362.398857152</v>
      </c>
      <c r="AE214" s="3" t="n">
        <v>0.243442255310042</v>
      </c>
      <c r="AF214" s="3" t="n">
        <v>-2.03834849037201</v>
      </c>
      <c r="AG214" s="3" t="s">
        <v>57</v>
      </c>
      <c r="AH214" s="2" t="n">
        <v>0.0000196908721454365</v>
      </c>
      <c r="AI214" s="2" t="n">
        <v>0.000588716891695193</v>
      </c>
      <c r="AJ214" s="2" t="n">
        <v>39004.7323606229</v>
      </c>
      <c r="AK214" s="2" t="n">
        <v>72511.0330959837</v>
      </c>
      <c r="AL214" s="2" t="n">
        <v>113737.902479493</v>
      </c>
      <c r="AM214" s="2" t="n">
        <v>68674.4842655269</v>
      </c>
      <c r="AN214" s="2" t="n">
        <v>5946.93780525963</v>
      </c>
      <c r="AO214" s="2" t="n">
        <v>236657.520224977</v>
      </c>
      <c r="AP214" s="2" t="n">
        <v>258826.289140908</v>
      </c>
      <c r="AQ214" s="2" t="n">
        <v>255771.97954082</v>
      </c>
      <c r="AR214" s="2" t="n">
        <v>210057.3947608</v>
      </c>
      <c r="AS214" s="2" t="n">
        <v>270498.810618257</v>
      </c>
    </row>
    <row r="215">
      <c r="A215" s="2" t="s">
        <v>1512</v>
      </c>
      <c r="B215" s="2" t="n">
        <v>352.119790773643</v>
      </c>
      <c r="C215" s="2" t="n">
        <v>7.45995</v>
      </c>
      <c r="D215" s="2" t="s">
        <v>46</v>
      </c>
      <c r="E215" s="2" t="s">
        <v>1513</v>
      </c>
      <c r="F215" s="2" t="n">
        <v>55168</v>
      </c>
      <c r="G215" s="5" t="str">
        <f>HYPERLINK("http://funmeta.oebiotech.com/network/55168", "http://funmeta.oebiotech.com/network/55168")</f>
      </c>
      <c r="H215" s="2" t="s">
        <v>1514</v>
      </c>
      <c r="I215" s="2"/>
      <c r="J215" s="2"/>
      <c r="K215" s="2" t="n">
        <v>741468</v>
      </c>
      <c r="L215" s="2"/>
      <c r="M215" s="2"/>
      <c r="N215" s="2"/>
      <c r="O215" s="2" t="n">
        <v>12301</v>
      </c>
      <c r="P215" s="2" t="s">
        <v>1515</v>
      </c>
      <c r="Q215" s="2" t="s">
        <v>1516</v>
      </c>
      <c r="R215" s="2" t="s">
        <v>1517</v>
      </c>
      <c r="S215" s="2" t="s">
        <v>428</v>
      </c>
      <c r="T215" s="2" t="s">
        <v>547</v>
      </c>
      <c r="U215" s="2" t="s">
        <v>77</v>
      </c>
      <c r="V215" s="2" t="s">
        <v>54</v>
      </c>
      <c r="W215" s="2" t="n">
        <v>38.5</v>
      </c>
      <c r="X215" s="2" t="n">
        <v>1.02</v>
      </c>
      <c r="Y215" s="2" t="s">
        <v>131</v>
      </c>
      <c r="Z215" s="2" t="s">
        <v>1518</v>
      </c>
      <c r="AA215" s="2" t="n">
        <v>2.42411086282634</v>
      </c>
      <c r="AB215" s="2" t="n">
        <v>1.33252284766819</v>
      </c>
      <c r="AC215" s="2" t="n">
        <v>29314.3472403721</v>
      </c>
      <c r="AD215" s="2" t="n">
        <v>239901.103826446</v>
      </c>
      <c r="AE215" s="3" t="n">
        <v>0.122193465443907</v>
      </c>
      <c r="AF215" s="3" t="n">
        <v>-3.03276095886115</v>
      </c>
      <c r="AG215" s="3" t="s">
        <v>57</v>
      </c>
      <c r="AH215" s="2" t="n">
        <v>0.00828524512806371</v>
      </c>
      <c r="AI215" s="2" t="n">
        <v>0.0316709304960557</v>
      </c>
      <c r="AJ215" s="2" t="n">
        <v>40982.8940004407</v>
      </c>
      <c r="AK215" s="2" t="n">
        <v>9723.74693413696</v>
      </c>
      <c r="AL215" s="2" t="n">
        <v>40276.51811788</v>
      </c>
      <c r="AM215" s="2" t="n">
        <v>47252.3804232025</v>
      </c>
      <c r="AN215" s="2" t="n">
        <v>8336.19672620018</v>
      </c>
      <c r="AO215" s="2" t="n">
        <v>401152.684202385</v>
      </c>
      <c r="AP215" s="2" t="n">
        <v>335640.76618567</v>
      </c>
      <c r="AQ215" s="2" t="n">
        <v>193895.102711836</v>
      </c>
      <c r="AR215" s="2" t="n">
        <v>56386.5014123519</v>
      </c>
      <c r="AS215" s="2" t="n">
        <v>212430.464619986</v>
      </c>
    </row>
    <row r="216">
      <c r="A216" s="2" t="s">
        <v>1519</v>
      </c>
      <c r="B216" s="2" t="n">
        <v>217.082201749769</v>
      </c>
      <c r="C216" s="2" t="n">
        <v>0.73705</v>
      </c>
      <c r="D216" s="2" t="s">
        <v>46</v>
      </c>
      <c r="E216" s="2" t="s">
        <v>1520</v>
      </c>
      <c r="F216" s="2" t="n">
        <v>48688</v>
      </c>
      <c r="G216" s="5" t="str">
        <f>HYPERLINK("http://funmeta.oebiotech.com/network/48688", "http://funmeta.oebiotech.com/network/48688")</f>
      </c>
      <c r="H216" s="2" t="s">
        <v>1521</v>
      </c>
      <c r="I216" s="2" t="n">
        <v>58376</v>
      </c>
      <c r="J216" s="2"/>
      <c r="K216" s="2" t="n">
        <v>50619</v>
      </c>
      <c r="L216" s="2" t="s">
        <v>1522</v>
      </c>
      <c r="M216" s="2" t="s">
        <v>1523</v>
      </c>
      <c r="N216" s="2" t="s">
        <v>1524</v>
      </c>
      <c r="O216" s="2" t="n">
        <v>440103</v>
      </c>
      <c r="P216" s="2" t="s">
        <v>1525</v>
      </c>
      <c r="Q216" s="2" t="s">
        <v>1526</v>
      </c>
      <c r="R216" s="2" t="s">
        <v>1527</v>
      </c>
      <c r="S216" s="2" t="s">
        <v>110</v>
      </c>
      <c r="T216" s="2" t="s">
        <v>111</v>
      </c>
      <c r="U216" s="2" t="s">
        <v>112</v>
      </c>
      <c r="V216" s="2" t="s">
        <v>69</v>
      </c>
      <c r="W216" s="2" t="n">
        <v>53.7</v>
      </c>
      <c r="X216" s="2" t="n">
        <v>72.3</v>
      </c>
      <c r="Y216" s="2" t="s">
        <v>290</v>
      </c>
      <c r="Z216" s="2" t="s">
        <v>1528</v>
      </c>
      <c r="AA216" s="2" t="n">
        <v>-3.63782669200686</v>
      </c>
      <c r="AB216" s="2" t="n">
        <v>1.33010397202649</v>
      </c>
      <c r="AC216" s="2" t="n">
        <v>308182.43391948</v>
      </c>
      <c r="AD216" s="2" t="n">
        <v>522348.176732636</v>
      </c>
      <c r="AE216" s="3" t="n">
        <v>0.589994275173326</v>
      </c>
      <c r="AF216" s="3" t="n">
        <v>-0.761227139089362</v>
      </c>
      <c r="AG216" s="3" t="s">
        <v>57</v>
      </c>
      <c r="AH216" s="2" t="n">
        <v>0.00106235820641253</v>
      </c>
      <c r="AI216" s="2" t="n">
        <v>0.00701060708285749</v>
      </c>
      <c r="AJ216" s="2" t="n">
        <v>412235.055867536</v>
      </c>
      <c r="AK216" s="2" t="n">
        <v>289331.634445744</v>
      </c>
      <c r="AL216" s="2" t="n">
        <v>242158.195683704</v>
      </c>
      <c r="AM216" s="2" t="n">
        <v>343684.917505889</v>
      </c>
      <c r="AN216" s="2" t="n">
        <v>253502.366094527</v>
      </c>
      <c r="AO216" s="2" t="n">
        <v>528747.92884428</v>
      </c>
      <c r="AP216" s="2" t="n">
        <v>519231.277599947</v>
      </c>
      <c r="AQ216" s="2" t="n">
        <v>572536.921113963</v>
      </c>
      <c r="AR216" s="2" t="n">
        <v>414963.032001185</v>
      </c>
      <c r="AS216" s="2" t="n">
        <v>576261.724103805</v>
      </c>
    </row>
    <row r="217">
      <c r="A217" s="2" t="s">
        <v>1529</v>
      </c>
      <c r="B217" s="2" t="n">
        <v>100.931855652787</v>
      </c>
      <c r="C217" s="2" t="n">
        <v>13.43205</v>
      </c>
      <c r="D217" s="2" t="s">
        <v>46</v>
      </c>
      <c r="E217" s="2" t="s">
        <v>1530</v>
      </c>
      <c r="F217" s="2" t="n">
        <v>256389</v>
      </c>
      <c r="G217" s="5" t="str">
        <f>HYPERLINK("http://funmeta.oebiotech.com/network/256389", "http://funmeta.oebiotech.com/network/256389")</f>
      </c>
      <c r="H217" s="2" t="s">
        <v>1531</v>
      </c>
      <c r="I217" s="2"/>
      <c r="J217" s="2"/>
      <c r="K217" s="2"/>
      <c r="L217" s="2"/>
      <c r="M217" s="2"/>
      <c r="N217" s="2"/>
      <c r="O217" s="2" t="n">
        <v>62645</v>
      </c>
      <c r="P217" s="2"/>
      <c r="Q217" s="2" t="s">
        <v>1532</v>
      </c>
      <c r="R217" s="2" t="s">
        <v>1533</v>
      </c>
      <c r="S217" s="2" t="s">
        <v>1301</v>
      </c>
      <c r="T217" s="2" t="s">
        <v>1302</v>
      </c>
      <c r="U217" s="2" t="s">
        <v>1303</v>
      </c>
      <c r="V217" s="2" t="s">
        <v>54</v>
      </c>
      <c r="W217" s="2" t="n">
        <v>37</v>
      </c>
      <c r="X217" s="2" t="n">
        <v>0</v>
      </c>
      <c r="Y217" s="2" t="s">
        <v>438</v>
      </c>
      <c r="Z217" s="2" t="s">
        <v>1534</v>
      </c>
      <c r="AA217" s="2" t="n">
        <v>3.10949295274843</v>
      </c>
      <c r="AB217" s="2" t="n">
        <v>1.32696065343836</v>
      </c>
      <c r="AC217" s="2" t="n">
        <v>499670.281503278</v>
      </c>
      <c r="AD217" s="2" t="n">
        <v>266420.233061496</v>
      </c>
      <c r="AE217" s="4" t="n">
        <v>1.87549675098416</v>
      </c>
      <c r="AF217" s="4" t="n">
        <v>0.907272763749527</v>
      </c>
      <c r="AG217" s="4" t="s">
        <v>72</v>
      </c>
      <c r="AH217" s="2" t="n">
        <v>0.029162849621503</v>
      </c>
      <c r="AI217" s="2" t="n">
        <v>0.0745066060053203</v>
      </c>
      <c r="AJ217" s="2" t="n">
        <v>715810.550605596</v>
      </c>
      <c r="AK217" s="2" t="n">
        <v>285411.55845053</v>
      </c>
      <c r="AL217" s="2" t="n">
        <v>296382.210825863</v>
      </c>
      <c r="AM217" s="2" t="n">
        <v>594240.137888033</v>
      </c>
      <c r="AN217" s="2" t="n">
        <v>606506.949746367</v>
      </c>
      <c r="AO217" s="2" t="n">
        <v>261039.55351804</v>
      </c>
      <c r="AP217" s="2" t="n">
        <v>260710.778537434</v>
      </c>
      <c r="AQ217" s="2" t="n">
        <v>266371.343502372</v>
      </c>
      <c r="AR217" s="2" t="n">
        <v>260235.540271585</v>
      </c>
      <c r="AS217" s="2" t="n">
        <v>283743.949478049</v>
      </c>
    </row>
    <row r="218">
      <c r="A218" s="2" t="s">
        <v>1535</v>
      </c>
      <c r="B218" s="2" t="n">
        <v>816.611577604743</v>
      </c>
      <c r="C218" s="2" t="n">
        <v>11.6690666666667</v>
      </c>
      <c r="D218" s="2" t="s">
        <v>46</v>
      </c>
      <c r="E218" s="2" t="s">
        <v>1536</v>
      </c>
      <c r="F218" s="2" t="n">
        <v>49602</v>
      </c>
      <c r="G218" s="5" t="str">
        <f>HYPERLINK("http://funmeta.oebiotech.com/network/49602", "http://funmeta.oebiotech.com/network/49602")</f>
      </c>
      <c r="H218" s="2" t="s">
        <v>1537</v>
      </c>
      <c r="I218" s="2" t="n">
        <v>59509</v>
      </c>
      <c r="J218" s="2"/>
      <c r="K218" s="2" t="n">
        <v>89681</v>
      </c>
      <c r="L218" s="2" t="s">
        <v>1538</v>
      </c>
      <c r="M218" s="2" t="s">
        <v>1539</v>
      </c>
      <c r="N218" s="2" t="s">
        <v>1540</v>
      </c>
      <c r="O218" s="2" t="n">
        <v>53478707</v>
      </c>
      <c r="P218" s="2"/>
      <c r="Q218" s="2" t="s">
        <v>1541</v>
      </c>
      <c r="R218" s="2" t="s">
        <v>1542</v>
      </c>
      <c r="S218" s="2" t="s">
        <v>66</v>
      </c>
      <c r="T218" s="2" t="s">
        <v>129</v>
      </c>
      <c r="U218" s="2" t="s">
        <v>740</v>
      </c>
      <c r="V218" s="2" t="s">
        <v>54</v>
      </c>
      <c r="W218" s="2" t="n">
        <v>38</v>
      </c>
      <c r="X218" s="2" t="n">
        <v>0</v>
      </c>
      <c r="Y218" s="2" t="s">
        <v>131</v>
      </c>
      <c r="Z218" s="2" t="s">
        <v>1543</v>
      </c>
      <c r="AA218" s="2" t="n">
        <v>-1.05751683504433</v>
      </c>
      <c r="AB218" s="2" t="n">
        <v>1.31846613662698</v>
      </c>
      <c r="AC218" s="2" t="n">
        <v>539680.951820846</v>
      </c>
      <c r="AD218" s="2" t="n">
        <v>279878.219249775</v>
      </c>
      <c r="AE218" s="4" t="n">
        <v>1.92827063594832</v>
      </c>
      <c r="AF218" s="4" t="n">
        <v>0.947307550395383</v>
      </c>
      <c r="AG218" s="4" t="s">
        <v>72</v>
      </c>
      <c r="AH218" s="2" t="n">
        <v>0.0335661446815197</v>
      </c>
      <c r="AI218" s="2" t="n">
        <v>0.0819573365973772</v>
      </c>
      <c r="AJ218" s="2" t="n">
        <v>648611.602620609</v>
      </c>
      <c r="AK218" s="2" t="n">
        <v>320648.291591014</v>
      </c>
      <c r="AL218" s="2" t="n">
        <v>285228.295253035</v>
      </c>
      <c r="AM218" s="2" t="n">
        <v>679499.474990121</v>
      </c>
      <c r="AN218" s="2" t="n">
        <v>764417.094649451</v>
      </c>
      <c r="AO218" s="2" t="n">
        <v>321368.856091395</v>
      </c>
      <c r="AP218" s="2" t="n">
        <v>320907.428658122</v>
      </c>
      <c r="AQ218" s="2" t="n">
        <v>193905.156484924</v>
      </c>
      <c r="AR218" s="2" t="n">
        <v>269516.153099451</v>
      </c>
      <c r="AS218" s="2" t="n">
        <v>293693.501914981</v>
      </c>
    </row>
    <row r="219">
      <c r="A219" s="2" t="s">
        <v>1544</v>
      </c>
      <c r="B219" s="2" t="n">
        <v>332.146408058832</v>
      </c>
      <c r="C219" s="2" t="n">
        <v>1.59338333333333</v>
      </c>
      <c r="D219" s="2" t="s">
        <v>46</v>
      </c>
      <c r="E219" s="2" t="s">
        <v>1545</v>
      </c>
      <c r="F219" s="2" t="n">
        <v>259071</v>
      </c>
      <c r="G219" s="5" t="str">
        <f>HYPERLINK("http://funmeta.oebiotech.com/network/259071", "http://funmeta.oebiotech.com/network/259071")</f>
      </c>
      <c r="H219" s="2"/>
      <c r="I219" s="2" t="n">
        <v>16269</v>
      </c>
      <c r="J219" s="2"/>
      <c r="K219" s="2"/>
      <c r="L219" s="2"/>
      <c r="M219" s="2"/>
      <c r="N219" s="2"/>
      <c r="O219" s="2" t="n">
        <v>145458922</v>
      </c>
      <c r="P219" s="2"/>
      <c r="Q219" s="2" t="s">
        <v>1546</v>
      </c>
      <c r="R219" s="2" t="s">
        <v>1547</v>
      </c>
      <c r="S219" s="2" t="s">
        <v>77</v>
      </c>
      <c r="T219" s="2" t="s">
        <v>77</v>
      </c>
      <c r="U219" s="2" t="s">
        <v>77</v>
      </c>
      <c r="V219" s="2" t="s">
        <v>122</v>
      </c>
      <c r="W219" s="2" t="n">
        <v>41.2</v>
      </c>
      <c r="X219" s="2" t="n">
        <v>0</v>
      </c>
      <c r="Y219" s="2" t="s">
        <v>290</v>
      </c>
      <c r="Z219" s="2" t="s">
        <v>900</v>
      </c>
      <c r="AA219" s="2" t="n">
        <v>0.253342307339433</v>
      </c>
      <c r="AB219" s="2" t="n">
        <v>1.3170099822642</v>
      </c>
      <c r="AC219" s="2" t="n">
        <v>40156.5943617458</v>
      </c>
      <c r="AD219" s="2" t="n">
        <v>218298.703725174</v>
      </c>
      <c r="AE219" s="3" t="n">
        <v>0.183952509458328</v>
      </c>
      <c r="AF219" s="3" t="n">
        <v>-2.4425947373675</v>
      </c>
      <c r="AG219" s="3" t="s">
        <v>57</v>
      </c>
      <c r="AH219" s="2" t="n">
        <v>0.0000283741881857217</v>
      </c>
      <c r="AI219" s="2" t="n">
        <v>0.000704545520204784</v>
      </c>
      <c r="AJ219" s="2" t="n">
        <v>27625.5523727029</v>
      </c>
      <c r="AK219" s="2" t="n">
        <v>54652.9661480916</v>
      </c>
      <c r="AL219" s="2" t="n">
        <v>77466.3213553563</v>
      </c>
      <c r="AM219" s="2" t="n">
        <v>38390.1281228468</v>
      </c>
      <c r="AN219" s="2" t="n">
        <v>2648.0038097316</v>
      </c>
      <c r="AO219" s="2" t="n">
        <v>208897.593544619</v>
      </c>
      <c r="AP219" s="2" t="n">
        <v>199533.333395862</v>
      </c>
      <c r="AQ219" s="2" t="n">
        <v>263508.647574687</v>
      </c>
      <c r="AR219" s="2" t="n">
        <v>171017.370422223</v>
      </c>
      <c r="AS219" s="2" t="n">
        <v>248536.57368848</v>
      </c>
    </row>
    <row r="220">
      <c r="A220" s="2" t="s">
        <v>1548</v>
      </c>
      <c r="B220" s="2" t="n">
        <v>378.167636903718</v>
      </c>
      <c r="C220" s="2" t="n">
        <v>4.22336666666667</v>
      </c>
      <c r="D220" s="2" t="s">
        <v>59</v>
      </c>
      <c r="E220" s="2" t="s">
        <v>1549</v>
      </c>
      <c r="F220" s="2" t="n">
        <v>260510</v>
      </c>
      <c r="G220" s="5" t="str">
        <f>HYPERLINK("http://funmeta.oebiotech.com/network/260510", "http://funmeta.oebiotech.com/network/260510")</f>
      </c>
      <c r="H220" s="2"/>
      <c r="I220" s="2" t="n">
        <v>17768</v>
      </c>
      <c r="J220" s="2"/>
      <c r="K220" s="2"/>
      <c r="L220" s="2"/>
      <c r="M220" s="2"/>
      <c r="N220" s="2"/>
      <c r="O220" s="2" t="n">
        <v>145454470</v>
      </c>
      <c r="P220" s="2"/>
      <c r="Q220" s="2" t="s">
        <v>1550</v>
      </c>
      <c r="R220" s="2" t="s">
        <v>1551</v>
      </c>
      <c r="S220" s="2" t="s">
        <v>110</v>
      </c>
      <c r="T220" s="2" t="s">
        <v>111</v>
      </c>
      <c r="U220" s="2" t="s">
        <v>112</v>
      </c>
      <c r="V220" s="2" t="s">
        <v>92</v>
      </c>
      <c r="W220" s="2" t="n">
        <v>57.5</v>
      </c>
      <c r="X220" s="2" t="n">
        <v>76.5</v>
      </c>
      <c r="Y220" s="2" t="s">
        <v>248</v>
      </c>
      <c r="Z220" s="2" t="s">
        <v>1552</v>
      </c>
      <c r="AA220" s="2" t="n">
        <v>-4.49707467322351</v>
      </c>
      <c r="AB220" s="2" t="n">
        <v>1.31590428771675</v>
      </c>
      <c r="AC220" s="2" t="n">
        <v>54258.48353272</v>
      </c>
      <c r="AD220" s="2" t="n">
        <v>236738.140239423</v>
      </c>
      <c r="AE220" s="3" t="n">
        <v>0.229191981815208</v>
      </c>
      <c r="AF220" s="3" t="n">
        <v>-2.12537152198705</v>
      </c>
      <c r="AG220" s="3" t="s">
        <v>57</v>
      </c>
      <c r="AH220" s="2" t="n">
        <v>0.0000819346621387131</v>
      </c>
      <c r="AI220" s="2" t="n">
        <v>0.00126689230004592</v>
      </c>
      <c r="AJ220" s="2" t="n">
        <v>26015.9577996826</v>
      </c>
      <c r="AK220" s="2" t="n">
        <v>86831.5407503288</v>
      </c>
      <c r="AL220" s="2" t="n">
        <v>111525.005769468</v>
      </c>
      <c r="AM220" s="2" t="n">
        <v>39549.7895121034</v>
      </c>
      <c r="AN220" s="2" t="n">
        <v>7370.12383201724</v>
      </c>
      <c r="AO220" s="2" t="n">
        <v>213062.220954299</v>
      </c>
      <c r="AP220" s="2" t="n">
        <v>214086.685555018</v>
      </c>
      <c r="AQ220" s="2" t="n">
        <v>290359.364307522</v>
      </c>
      <c r="AR220" s="2" t="n">
        <v>212047.620384015</v>
      </c>
      <c r="AS220" s="2" t="n">
        <v>254134.809996261</v>
      </c>
    </row>
    <row r="221">
      <c r="A221" s="2" t="s">
        <v>1553</v>
      </c>
      <c r="B221" s="2" t="n">
        <v>930.423958216523</v>
      </c>
      <c r="C221" s="2" t="n">
        <v>7.0206</v>
      </c>
      <c r="D221" s="2" t="s">
        <v>59</v>
      </c>
      <c r="E221" s="2" t="s">
        <v>1554</v>
      </c>
      <c r="F221" s="2" t="n">
        <v>227921</v>
      </c>
      <c r="G221" s="5" t="str">
        <f>HYPERLINK("http://funmeta.oebiotech.com/network/227921", "http://funmeta.oebiotech.com/network/227921")</f>
      </c>
      <c r="H221" s="2" t="s">
        <v>1555</v>
      </c>
      <c r="I221" s="2"/>
      <c r="J221" s="2"/>
      <c r="K221" s="2"/>
      <c r="L221" s="2"/>
      <c r="M221" s="2"/>
      <c r="N221" s="2"/>
      <c r="O221" s="2"/>
      <c r="P221" s="2"/>
      <c r="Q221" s="2" t="s">
        <v>1556</v>
      </c>
      <c r="R221" s="2" t="s">
        <v>1557</v>
      </c>
      <c r="S221" s="2" t="s">
        <v>77</v>
      </c>
      <c r="T221" s="2" t="s">
        <v>77</v>
      </c>
      <c r="U221" s="2" t="s">
        <v>77</v>
      </c>
      <c r="V221" s="2" t="s">
        <v>54</v>
      </c>
      <c r="W221" s="2" t="n">
        <v>38</v>
      </c>
      <c r="X221" s="2" t="n">
        <v>0</v>
      </c>
      <c r="Y221" s="2" t="s">
        <v>248</v>
      </c>
      <c r="Z221" s="2" t="s">
        <v>1558</v>
      </c>
      <c r="AA221" s="2" t="n">
        <v>4.46762392532394</v>
      </c>
      <c r="AB221" s="2" t="n">
        <v>1.31475020745529</v>
      </c>
      <c r="AC221" s="2" t="n">
        <v>6336.57919356114</v>
      </c>
      <c r="AD221" s="2" t="n">
        <v>201946.015587603</v>
      </c>
      <c r="AE221" s="3" t="n">
        <v>0.0313775895757269</v>
      </c>
      <c r="AF221" s="3" t="n">
        <v>-4.99412166094586</v>
      </c>
      <c r="AG221" s="3" t="s">
        <v>57</v>
      </c>
      <c r="AH221" s="2" t="n">
        <v>0.00426757495016328</v>
      </c>
      <c r="AI221" s="2" t="n">
        <v>0.0197223889652656</v>
      </c>
      <c r="AJ221" s="2" t="n">
        <v>28488.6166238206</v>
      </c>
      <c r="AK221" s="2" t="n">
        <v>312.855594118738</v>
      </c>
      <c r="AL221" s="2" t="n">
        <v>942.775574383844</v>
      </c>
      <c r="AM221" s="2" t="n">
        <v>1198.07809286092</v>
      </c>
      <c r="AN221" s="2" t="n">
        <v>740.570082621598</v>
      </c>
      <c r="AO221" s="2" t="n">
        <v>176757.881358525</v>
      </c>
      <c r="AP221" s="2" t="n">
        <v>156217.435153892</v>
      </c>
      <c r="AQ221" s="2" t="n">
        <v>363668.787306993</v>
      </c>
      <c r="AR221" s="2" t="n">
        <v>68331.6972853053</v>
      </c>
      <c r="AS221" s="2" t="n">
        <v>244754.276833299</v>
      </c>
    </row>
    <row r="222">
      <c r="A222" s="2" t="s">
        <v>1559</v>
      </c>
      <c r="B222" s="2" t="n">
        <v>330.202397832013</v>
      </c>
      <c r="C222" s="2" t="n">
        <v>3.59008333333333</v>
      </c>
      <c r="D222" s="2" t="s">
        <v>59</v>
      </c>
      <c r="E222" s="2" t="s">
        <v>1560</v>
      </c>
      <c r="F222" s="2" t="n">
        <v>264139</v>
      </c>
      <c r="G222" s="5" t="str">
        <f>HYPERLINK("http://funmeta.oebiotech.com/network/264139", "http://funmeta.oebiotech.com/network/264139")</f>
      </c>
      <c r="H222" s="2"/>
      <c r="I222" s="2" t="n">
        <v>21585</v>
      </c>
      <c r="J222" s="2"/>
      <c r="K222" s="2"/>
      <c r="L222" s="2"/>
      <c r="M222" s="2"/>
      <c r="N222" s="2"/>
      <c r="O222" s="2" t="n">
        <v>101896425</v>
      </c>
      <c r="P222" s="2"/>
      <c r="Q222" s="2" t="s">
        <v>1561</v>
      </c>
      <c r="R222" s="2" t="s">
        <v>1562</v>
      </c>
      <c r="S222" s="2" t="s">
        <v>110</v>
      </c>
      <c r="T222" s="2" t="s">
        <v>111</v>
      </c>
      <c r="U222" s="2" t="s">
        <v>112</v>
      </c>
      <c r="V222" s="2" t="s">
        <v>92</v>
      </c>
      <c r="W222" s="2" t="n">
        <v>53.9</v>
      </c>
      <c r="X222" s="2" t="n">
        <v>64.8</v>
      </c>
      <c r="Y222" s="2" t="s">
        <v>248</v>
      </c>
      <c r="Z222" s="2" t="s">
        <v>1563</v>
      </c>
      <c r="AA222" s="2" t="n">
        <v>0.153167307634342</v>
      </c>
      <c r="AB222" s="2" t="n">
        <v>1.31345847250073</v>
      </c>
      <c r="AC222" s="2" t="n">
        <v>34563.6090326676</v>
      </c>
      <c r="AD222" s="2" t="n">
        <v>209317.285144324</v>
      </c>
      <c r="AE222" s="3" t="n">
        <v>0.165125441068261</v>
      </c>
      <c r="AF222" s="3" t="n">
        <v>-2.59836567981257</v>
      </c>
      <c r="AG222" s="3" t="s">
        <v>57</v>
      </c>
      <c r="AH222" s="2" t="n">
        <v>0.00000344165170220625</v>
      </c>
      <c r="AI222" s="2" t="n">
        <v>0.000347181086776329</v>
      </c>
      <c r="AJ222" s="2" t="n">
        <v>23873.8177324829</v>
      </c>
      <c r="AK222" s="2" t="n">
        <v>39744.6759260327</v>
      </c>
      <c r="AL222" s="2" t="n">
        <v>70951.6576597372</v>
      </c>
      <c r="AM222" s="2" t="n">
        <v>31570.1248893296</v>
      </c>
      <c r="AN222" s="2" t="n">
        <v>6677.76895575538</v>
      </c>
      <c r="AO222" s="2" t="n">
        <v>214798.127765739</v>
      </c>
      <c r="AP222" s="2" t="n">
        <v>198137.217605801</v>
      </c>
      <c r="AQ222" s="2" t="n">
        <v>243497.609083417</v>
      </c>
      <c r="AR222" s="2" t="n">
        <v>174783.158943337</v>
      </c>
      <c r="AS222" s="2" t="n">
        <v>215370.312323327</v>
      </c>
    </row>
    <row r="223">
      <c r="A223" s="2" t="s">
        <v>1564</v>
      </c>
      <c r="B223" s="2" t="n">
        <v>396.176703090295</v>
      </c>
      <c r="C223" s="2" t="n">
        <v>3.71038333333333</v>
      </c>
      <c r="D223" s="2" t="s">
        <v>59</v>
      </c>
      <c r="E223" s="2" t="s">
        <v>1565</v>
      </c>
      <c r="F223" s="2" t="n">
        <v>264463</v>
      </c>
      <c r="G223" s="5" t="str">
        <f>HYPERLINK("http://funmeta.oebiotech.com/network/264463", "http://funmeta.oebiotech.com/network/264463")</f>
      </c>
      <c r="H223" s="2"/>
      <c r="I223" s="2" t="n">
        <v>21924</v>
      </c>
      <c r="J223" s="2"/>
      <c r="K223" s="2"/>
      <c r="L223" s="2"/>
      <c r="M223" s="2"/>
      <c r="N223" s="2"/>
      <c r="O223" s="2" t="n">
        <v>145457207</v>
      </c>
      <c r="P223" s="2"/>
      <c r="Q223" s="2" t="s">
        <v>1566</v>
      </c>
      <c r="R223" s="2" t="s">
        <v>1567</v>
      </c>
      <c r="S223" s="2" t="s">
        <v>77</v>
      </c>
      <c r="T223" s="2" t="s">
        <v>77</v>
      </c>
      <c r="U223" s="2" t="s">
        <v>77</v>
      </c>
      <c r="V223" s="2" t="s">
        <v>92</v>
      </c>
      <c r="W223" s="2" t="n">
        <v>60.1</v>
      </c>
      <c r="X223" s="2" t="n">
        <v>93.2</v>
      </c>
      <c r="Y223" s="2" t="s">
        <v>248</v>
      </c>
      <c r="Z223" s="2" t="s">
        <v>1568</v>
      </c>
      <c r="AA223" s="2" t="n">
        <v>0.446657286688728</v>
      </c>
      <c r="AB223" s="2" t="n">
        <v>1.30620800934085</v>
      </c>
      <c r="AC223" s="2" t="n">
        <v>54004.1790748679</v>
      </c>
      <c r="AD223" s="2" t="n">
        <v>239822.785978522</v>
      </c>
      <c r="AE223" s="3" t="n">
        <v>0.225183686589749</v>
      </c>
      <c r="AF223" s="3" t="n">
        <v>-2.15082577958536</v>
      </c>
      <c r="AG223" s="3" t="s">
        <v>57</v>
      </c>
      <c r="AH223" s="2" t="n">
        <v>0.0000683538587479962</v>
      </c>
      <c r="AI223" s="2" t="n">
        <v>0.00116102496308191</v>
      </c>
      <c r="AJ223" s="2" t="n">
        <v>13981.1567613751</v>
      </c>
      <c r="AK223" s="2" t="n">
        <v>125226.523163325</v>
      </c>
      <c r="AL223" s="2" t="n">
        <v>85422.3107167908</v>
      </c>
      <c r="AM223" s="2" t="n">
        <v>40440.0069145361</v>
      </c>
      <c r="AN223" s="2" t="n">
        <v>4950.89781831246</v>
      </c>
      <c r="AO223" s="2" t="n">
        <v>252044.358385359</v>
      </c>
      <c r="AP223" s="2" t="n">
        <v>229750.04663316</v>
      </c>
      <c r="AQ223" s="2" t="n">
        <v>249597.792861997</v>
      </c>
      <c r="AR223" s="2" t="n">
        <v>261800.712983665</v>
      </c>
      <c r="AS223" s="2" t="n">
        <v>205921.01902843</v>
      </c>
    </row>
    <row r="224">
      <c r="A224" s="2" t="s">
        <v>1569</v>
      </c>
      <c r="B224" s="2" t="n">
        <v>699.295506620521</v>
      </c>
      <c r="C224" s="2" t="n">
        <v>7.65951666666667</v>
      </c>
      <c r="D224" s="2" t="s">
        <v>46</v>
      </c>
      <c r="E224" s="2" t="s">
        <v>1570</v>
      </c>
      <c r="F224" s="2" t="n">
        <v>205875</v>
      </c>
      <c r="G224" s="5" t="str">
        <f>HYPERLINK("http://funmeta.oebiotech.com/network/205875", "http://funmeta.oebiotech.com/network/205875")</f>
      </c>
      <c r="H224" s="2" t="s">
        <v>1571</v>
      </c>
      <c r="I224" s="2"/>
      <c r="J224" s="2"/>
      <c r="K224" s="2"/>
      <c r="L224" s="2"/>
      <c r="M224" s="2"/>
      <c r="N224" s="2"/>
      <c r="O224" s="2" t="n">
        <v>6767</v>
      </c>
      <c r="P224" s="2"/>
      <c r="Q224" s="2" t="s">
        <v>1572</v>
      </c>
      <c r="R224" s="2" t="s">
        <v>1573</v>
      </c>
      <c r="S224" s="2" t="s">
        <v>158</v>
      </c>
      <c r="T224" s="2" t="s">
        <v>1574</v>
      </c>
      <c r="U224" s="2" t="s">
        <v>77</v>
      </c>
      <c r="V224" s="2" t="s">
        <v>54</v>
      </c>
      <c r="W224" s="2" t="n">
        <v>38.6</v>
      </c>
      <c r="X224" s="2" t="n">
        <v>0</v>
      </c>
      <c r="Y224" s="2" t="s">
        <v>85</v>
      </c>
      <c r="Z224" s="2" t="s">
        <v>1575</v>
      </c>
      <c r="AA224" s="2" t="n">
        <v>-1.19278983794777</v>
      </c>
      <c r="AB224" s="2" t="n">
        <v>1.30557918980879</v>
      </c>
      <c r="AC224" s="2" t="n">
        <v>2951.368160144</v>
      </c>
      <c r="AD224" s="2" t="n">
        <v>183484.209489862</v>
      </c>
      <c r="AE224" s="3" t="n">
        <v>0.0160851343467083</v>
      </c>
      <c r="AF224" s="3" t="n">
        <v>-5.95812820401594</v>
      </c>
      <c r="AG224" s="3" t="s">
        <v>57</v>
      </c>
      <c r="AH224" s="2" t="n">
        <v>0.0011975929383015</v>
      </c>
      <c r="AI224" s="2" t="n">
        <v>0.00764775753192468</v>
      </c>
      <c r="AJ224" s="2" t="n">
        <v>1130.95117879707</v>
      </c>
      <c r="AK224" s="2" t="n">
        <v>279.463660044125</v>
      </c>
      <c r="AL224" s="2" t="n">
        <v>5426.13934838832</v>
      </c>
      <c r="AM224" s="2" t="n">
        <v>7920.28661212641</v>
      </c>
      <c r="AN224" s="2" t="n">
        <v>0.00000136409140715624</v>
      </c>
      <c r="AO224" s="2" t="n">
        <v>184668.861048902</v>
      </c>
      <c r="AP224" s="2" t="n">
        <v>93566.8700609233</v>
      </c>
      <c r="AQ224" s="2" t="n">
        <v>262986.619891807</v>
      </c>
      <c r="AR224" s="2" t="n">
        <v>108484.367384503</v>
      </c>
      <c r="AS224" s="2" t="n">
        <v>267714.329063177</v>
      </c>
    </row>
    <row r="225">
      <c r="A225" s="2" t="s">
        <v>1576</v>
      </c>
      <c r="B225" s="2" t="n">
        <v>233.077256780139</v>
      </c>
      <c r="C225" s="2" t="n">
        <v>0.7213</v>
      </c>
      <c r="D225" s="2" t="s">
        <v>46</v>
      </c>
      <c r="E225" s="2" t="s">
        <v>1577</v>
      </c>
      <c r="F225" s="2" t="n">
        <v>51943</v>
      </c>
      <c r="G225" s="5" t="str">
        <f>HYPERLINK("http://funmeta.oebiotech.com/network/51943", "http://funmeta.oebiotech.com/network/51943")</f>
      </c>
      <c r="H225" s="2" t="s">
        <v>1578</v>
      </c>
      <c r="I225" s="2"/>
      <c r="J225" s="2"/>
      <c r="K225" s="2" t="n">
        <v>18051</v>
      </c>
      <c r="L225" s="2" t="s">
        <v>1579</v>
      </c>
      <c r="M225" s="2" t="s">
        <v>1580</v>
      </c>
      <c r="N225" s="2" t="s">
        <v>1581</v>
      </c>
      <c r="O225" s="2" t="n">
        <v>439235</v>
      </c>
      <c r="P225" s="2" t="s">
        <v>1582</v>
      </c>
      <c r="Q225" s="2" t="s">
        <v>1583</v>
      </c>
      <c r="R225" s="2" t="s">
        <v>1584</v>
      </c>
      <c r="S225" s="2" t="s">
        <v>110</v>
      </c>
      <c r="T225" s="2" t="s">
        <v>111</v>
      </c>
      <c r="U225" s="2" t="s">
        <v>112</v>
      </c>
      <c r="V225" s="2" t="s">
        <v>54</v>
      </c>
      <c r="W225" s="2" t="n">
        <v>46.3</v>
      </c>
      <c r="X225" s="2" t="n">
        <v>38.2</v>
      </c>
      <c r="Y225" s="2" t="s">
        <v>1585</v>
      </c>
      <c r="Z225" s="2" t="s">
        <v>1586</v>
      </c>
      <c r="AA225" s="2" t="n">
        <v>-2.7894281193085</v>
      </c>
      <c r="AB225" s="2" t="n">
        <v>1.30424182954278</v>
      </c>
      <c r="AC225" s="2" t="n">
        <v>86563.0746160821</v>
      </c>
      <c r="AD225" s="2" t="n">
        <v>275014.940391651</v>
      </c>
      <c r="AE225" s="3" t="n">
        <v>0.314757716409177</v>
      </c>
      <c r="AF225" s="3" t="n">
        <v>-1.66768634827335</v>
      </c>
      <c r="AG225" s="3" t="s">
        <v>57</v>
      </c>
      <c r="AH225" s="2" t="n">
        <v>0.000485624130965002</v>
      </c>
      <c r="AI225" s="2" t="n">
        <v>0.00408045841489614</v>
      </c>
      <c r="AJ225" s="2" t="n">
        <v>82507.2597792589</v>
      </c>
      <c r="AK225" s="2" t="n">
        <v>131322.920682183</v>
      </c>
      <c r="AL225" s="2" t="n">
        <v>105738.793945321</v>
      </c>
      <c r="AM225" s="2" t="n">
        <v>90924.0942480882</v>
      </c>
      <c r="AN225" s="2" t="n">
        <v>22322.3044255596</v>
      </c>
      <c r="AO225" s="2" t="n">
        <v>233582.837099479</v>
      </c>
      <c r="AP225" s="2" t="n">
        <v>273005.158708985</v>
      </c>
      <c r="AQ225" s="2" t="n">
        <v>317694.95835453</v>
      </c>
      <c r="AR225" s="2" t="n">
        <v>197186.952874776</v>
      </c>
      <c r="AS225" s="2" t="n">
        <v>353604.794920485</v>
      </c>
    </row>
    <row r="226">
      <c r="A226" s="2" t="s">
        <v>1587</v>
      </c>
      <c r="B226" s="2" t="n">
        <v>376.224201065687</v>
      </c>
      <c r="C226" s="2" t="n">
        <v>4.5414</v>
      </c>
      <c r="D226" s="2" t="s">
        <v>59</v>
      </c>
      <c r="E226" s="2" t="s">
        <v>1588</v>
      </c>
      <c r="F226" s="2" t="n">
        <v>263154</v>
      </c>
      <c r="G226" s="5" t="str">
        <f>HYPERLINK("http://funmeta.oebiotech.com/network/263154", "http://funmeta.oebiotech.com/network/263154")</f>
      </c>
      <c r="H226" s="2"/>
      <c r="I226" s="2" t="n">
        <v>20555</v>
      </c>
      <c r="J226" s="2"/>
      <c r="K226" s="2"/>
      <c r="L226" s="2"/>
      <c r="M226" s="2"/>
      <c r="N226" s="2"/>
      <c r="O226" s="2" t="n">
        <v>25183214</v>
      </c>
      <c r="P226" s="2"/>
      <c r="Q226" s="2" t="s">
        <v>1589</v>
      </c>
      <c r="R226" s="2" t="s">
        <v>1590</v>
      </c>
      <c r="S226" s="2" t="s">
        <v>110</v>
      </c>
      <c r="T226" s="2" t="s">
        <v>111</v>
      </c>
      <c r="U226" s="2" t="s">
        <v>112</v>
      </c>
      <c r="V226" s="2" t="s">
        <v>92</v>
      </c>
      <c r="W226" s="2" t="n">
        <v>57.5</v>
      </c>
      <c r="X226" s="2" t="n">
        <v>63</v>
      </c>
      <c r="Y226" s="2" t="s">
        <v>248</v>
      </c>
      <c r="Z226" s="2" t="s">
        <v>1591</v>
      </c>
      <c r="AA226" s="2" t="n">
        <v>2.98018099840821</v>
      </c>
      <c r="AB226" s="2" t="n">
        <v>1.30417398602385</v>
      </c>
      <c r="AC226" s="2" t="n">
        <v>66460.8580175055</v>
      </c>
      <c r="AD226" s="2" t="n">
        <v>250461.501758251</v>
      </c>
      <c r="AE226" s="3" t="n">
        <v>0.265353587481299</v>
      </c>
      <c r="AF226" s="3" t="n">
        <v>-1.91401204130839</v>
      </c>
      <c r="AG226" s="3" t="s">
        <v>57</v>
      </c>
      <c r="AH226" s="2" t="n">
        <v>0.000292414105554717</v>
      </c>
      <c r="AI226" s="2" t="n">
        <v>0.00285444388400994</v>
      </c>
      <c r="AJ226" s="2" t="n">
        <v>27815.4288499323</v>
      </c>
      <c r="AK226" s="2" t="n">
        <v>126321.226711462</v>
      </c>
      <c r="AL226" s="2" t="n">
        <v>125969.890442485</v>
      </c>
      <c r="AM226" s="2" t="n">
        <v>47810.511410438</v>
      </c>
      <c r="AN226" s="2" t="n">
        <v>4387.23267321042</v>
      </c>
      <c r="AO226" s="2" t="n">
        <v>266783.2400657</v>
      </c>
      <c r="AP226" s="2" t="n">
        <v>258165.626763583</v>
      </c>
      <c r="AQ226" s="2" t="n">
        <v>299131.654932498</v>
      </c>
      <c r="AR226" s="2" t="n">
        <v>221053.763688527</v>
      </c>
      <c r="AS226" s="2" t="n">
        <v>207173.223340948</v>
      </c>
    </row>
    <row r="227">
      <c r="A227" s="2" t="s">
        <v>1592</v>
      </c>
      <c r="B227" s="2" t="n">
        <v>677.311829062601</v>
      </c>
      <c r="C227" s="2" t="n">
        <v>6.869</v>
      </c>
      <c r="D227" s="2" t="s">
        <v>46</v>
      </c>
      <c r="E227" s="2" t="s">
        <v>1593</v>
      </c>
      <c r="F227" s="2" t="n">
        <v>554789</v>
      </c>
      <c r="G227" s="5" t="str">
        <f>HYPERLINK("http://funmeta.oebiotech.com/network/554789", "http://funmeta.oebiotech.com/network/554789")</f>
      </c>
      <c r="H227" s="2"/>
      <c r="I227" s="2"/>
      <c r="J227" s="2"/>
      <c r="K227" s="2"/>
      <c r="L227" s="2"/>
      <c r="M227" s="2"/>
      <c r="N227" s="2"/>
      <c r="O227" s="2" t="n">
        <v>263169</v>
      </c>
      <c r="P227" s="2" t="s">
        <v>1594</v>
      </c>
      <c r="Q227" s="2" t="s">
        <v>1595</v>
      </c>
      <c r="R227" s="2" t="s">
        <v>1596</v>
      </c>
      <c r="S227" s="2" t="s">
        <v>77</v>
      </c>
      <c r="T227" s="2" t="s">
        <v>77</v>
      </c>
      <c r="U227" s="2" t="s">
        <v>77</v>
      </c>
      <c r="V227" s="2" t="s">
        <v>54</v>
      </c>
      <c r="W227" s="2" t="n">
        <v>38.9</v>
      </c>
      <c r="X227" s="2" t="n">
        <v>0</v>
      </c>
      <c r="Y227" s="2" t="s">
        <v>85</v>
      </c>
      <c r="Z227" s="2" t="s">
        <v>1597</v>
      </c>
      <c r="AA227" s="2" t="n">
        <v>3.71861983567195</v>
      </c>
      <c r="AB227" s="2" t="n">
        <v>1.30362403523616</v>
      </c>
      <c r="AC227" s="2" t="n">
        <v>230180.336577426</v>
      </c>
      <c r="AD227" s="2" t="n">
        <v>25906.2531274495</v>
      </c>
      <c r="AE227" s="4" t="n">
        <v>8.88512651540232</v>
      </c>
      <c r="AF227" s="4" t="n">
        <v>3.15139231894884</v>
      </c>
      <c r="AG227" s="4" t="s">
        <v>72</v>
      </c>
      <c r="AH227" s="2" t="n">
        <v>0.0157270310722891</v>
      </c>
      <c r="AI227" s="2" t="n">
        <v>0.0491522144445941</v>
      </c>
      <c r="AJ227" s="2" t="n">
        <v>295516.010760896</v>
      </c>
      <c r="AK227" s="2" t="n">
        <v>347403.199595403</v>
      </c>
      <c r="AL227" s="2" t="n">
        <v>173211.430687708</v>
      </c>
      <c r="AM227" s="2" t="n">
        <v>334771.041841757</v>
      </c>
      <c r="AN227" s="2" t="n">
        <v>0.00000136409140715624</v>
      </c>
      <c r="AO227" s="2" t="n">
        <v>7747.23106481113</v>
      </c>
      <c r="AP227" s="2" t="n">
        <v>0.00000136409140715624</v>
      </c>
      <c r="AQ227" s="2" t="n">
        <v>0.00000136409140715624</v>
      </c>
      <c r="AR227" s="2" t="n">
        <v>51266.6635761362</v>
      </c>
      <c r="AS227" s="2" t="n">
        <v>70517.3709935718</v>
      </c>
    </row>
    <row r="228">
      <c r="A228" s="2" t="s">
        <v>1598</v>
      </c>
      <c r="B228" s="2" t="n">
        <v>324.17293629528</v>
      </c>
      <c r="C228" s="2" t="n">
        <v>6.60231666666667</v>
      </c>
      <c r="D228" s="2" t="s">
        <v>59</v>
      </c>
      <c r="E228" s="2" t="s">
        <v>1599</v>
      </c>
      <c r="F228" s="2" t="n">
        <v>62412</v>
      </c>
      <c r="G228" s="5" t="str">
        <f>HYPERLINK("http://funmeta.oebiotech.com/network/62412", "http://funmeta.oebiotech.com/network/62412")</f>
      </c>
      <c r="H228" s="2" t="s">
        <v>1600</v>
      </c>
      <c r="I228" s="2" t="n">
        <v>93706</v>
      </c>
      <c r="J228" s="2"/>
      <c r="K228" s="2"/>
      <c r="L228" s="2"/>
      <c r="M228" s="2"/>
      <c r="N228" s="2"/>
      <c r="O228" s="2" t="n">
        <v>15173236</v>
      </c>
      <c r="P228" s="2" t="s">
        <v>1601</v>
      </c>
      <c r="Q228" s="2" t="s">
        <v>1602</v>
      </c>
      <c r="R228" s="2" t="s">
        <v>1603</v>
      </c>
      <c r="S228" s="2" t="s">
        <v>147</v>
      </c>
      <c r="T228" s="2" t="s">
        <v>77</v>
      </c>
      <c r="U228" s="2" t="s">
        <v>77</v>
      </c>
      <c r="V228" s="2" t="s">
        <v>122</v>
      </c>
      <c r="W228" s="2" t="n">
        <v>45.8</v>
      </c>
      <c r="X228" s="2" t="n">
        <v>0</v>
      </c>
      <c r="Y228" s="2" t="s">
        <v>70</v>
      </c>
      <c r="Z228" s="2" t="s">
        <v>643</v>
      </c>
      <c r="AA228" s="2" t="n">
        <v>7.45725143921781</v>
      </c>
      <c r="AB228" s="2" t="n">
        <v>1.30078305078264</v>
      </c>
      <c r="AC228" s="2" t="n">
        <v>126581.720102435</v>
      </c>
      <c r="AD228" s="2" t="n">
        <v>387766.870866953</v>
      </c>
      <c r="AE228" s="3" t="n">
        <v>0.326437686178369</v>
      </c>
      <c r="AF228" s="3" t="n">
        <v>-1.61512047347219</v>
      </c>
      <c r="AG228" s="3" t="s">
        <v>57</v>
      </c>
      <c r="AH228" s="2" t="n">
        <v>0.0260884637247195</v>
      </c>
      <c r="AI228" s="2" t="n">
        <v>0.069144458356787</v>
      </c>
      <c r="AJ228" s="2" t="n">
        <v>198900.007075828</v>
      </c>
      <c r="AK228" s="2" t="n">
        <v>51771.7821689822</v>
      </c>
      <c r="AL228" s="2" t="n">
        <v>144270.484783495</v>
      </c>
      <c r="AM228" s="2" t="n">
        <v>232844.812360276</v>
      </c>
      <c r="AN228" s="2" t="n">
        <v>5121.51412359186</v>
      </c>
      <c r="AO228" s="2" t="n">
        <v>192189.350005058</v>
      </c>
      <c r="AP228" s="2" t="n">
        <v>192133.384119354</v>
      </c>
      <c r="AQ228" s="2" t="n">
        <v>613405.135958873</v>
      </c>
      <c r="AR228" s="2" t="n">
        <v>417875.838294984</v>
      </c>
      <c r="AS228" s="2" t="n">
        <v>523230.645956498</v>
      </c>
    </row>
    <row r="229">
      <c r="A229" s="2" t="s">
        <v>1604</v>
      </c>
      <c r="B229" s="2" t="n">
        <v>330.167180954958</v>
      </c>
      <c r="C229" s="2" t="n">
        <v>4.13138333333333</v>
      </c>
      <c r="D229" s="2" t="s">
        <v>46</v>
      </c>
      <c r="E229" s="2" t="s">
        <v>1605</v>
      </c>
      <c r="F229" s="2" t="n">
        <v>264443</v>
      </c>
      <c r="G229" s="5" t="str">
        <f>HYPERLINK("http://funmeta.oebiotech.com/network/264443", "http://funmeta.oebiotech.com/network/264443")</f>
      </c>
      <c r="H229" s="2"/>
      <c r="I229" s="2" t="n">
        <v>21904</v>
      </c>
      <c r="J229" s="2"/>
      <c r="K229" s="2"/>
      <c r="L229" s="2"/>
      <c r="M229" s="2"/>
      <c r="N229" s="2"/>
      <c r="O229" s="2" t="n">
        <v>9943731</v>
      </c>
      <c r="P229" s="2"/>
      <c r="Q229" s="2" t="s">
        <v>1606</v>
      </c>
      <c r="R229" s="2" t="s">
        <v>1607</v>
      </c>
      <c r="S229" s="2" t="s">
        <v>77</v>
      </c>
      <c r="T229" s="2" t="s">
        <v>77</v>
      </c>
      <c r="U229" s="2" t="s">
        <v>77</v>
      </c>
      <c r="V229" s="2" t="s">
        <v>122</v>
      </c>
      <c r="W229" s="2" t="n">
        <v>40.4</v>
      </c>
      <c r="X229" s="2" t="n">
        <v>0</v>
      </c>
      <c r="Y229" s="2" t="s">
        <v>131</v>
      </c>
      <c r="Z229" s="2" t="s">
        <v>1608</v>
      </c>
      <c r="AA229" s="2" t="n">
        <v>0.42730720912074</v>
      </c>
      <c r="AB229" s="2" t="n">
        <v>1.28328038205194</v>
      </c>
      <c r="AC229" s="2" t="n">
        <v>35200.8716625418</v>
      </c>
      <c r="AD229" s="2" t="n">
        <v>211244.875477957</v>
      </c>
      <c r="AE229" s="3" t="n">
        <v>0.16663538740477</v>
      </c>
      <c r="AF229" s="3" t="n">
        <v>-2.58523328474785</v>
      </c>
      <c r="AG229" s="3" t="s">
        <v>57</v>
      </c>
      <c r="AH229" s="2" t="n">
        <v>0.000202219625362328</v>
      </c>
      <c r="AI229" s="2" t="n">
        <v>0.00225286502780084</v>
      </c>
      <c r="AJ229" s="2" t="n">
        <v>13798.5918598424</v>
      </c>
      <c r="AK229" s="2" t="n">
        <v>57150.5900459473</v>
      </c>
      <c r="AL229" s="2" t="n">
        <v>87107.941856163</v>
      </c>
      <c r="AM229" s="2" t="n">
        <v>17553.579356803</v>
      </c>
      <c r="AN229" s="2" t="n">
        <v>393.655193953172</v>
      </c>
      <c r="AO229" s="2" t="n">
        <v>176491.826201317</v>
      </c>
      <c r="AP229" s="2" t="n">
        <v>170210.63412516</v>
      </c>
      <c r="AQ229" s="2" t="n">
        <v>290253.099708656</v>
      </c>
      <c r="AR229" s="2" t="n">
        <v>191087.198523663</v>
      </c>
      <c r="AS229" s="2" t="n">
        <v>228181.618830989</v>
      </c>
    </row>
    <row r="230">
      <c r="A230" s="2" t="s">
        <v>1609</v>
      </c>
      <c r="B230" s="2" t="n">
        <v>330.238868211925</v>
      </c>
      <c r="C230" s="2" t="n">
        <v>4.2789</v>
      </c>
      <c r="D230" s="2" t="s">
        <v>59</v>
      </c>
      <c r="E230" s="2" t="s">
        <v>1610</v>
      </c>
      <c r="F230" s="2" t="n">
        <v>257552</v>
      </c>
      <c r="G230" s="5" t="str">
        <f>HYPERLINK("http://funmeta.oebiotech.com/network/257552", "http://funmeta.oebiotech.com/network/257552")</f>
      </c>
      <c r="H230" s="2" t="s">
        <v>1611</v>
      </c>
      <c r="I230" s="2"/>
      <c r="J230" s="2"/>
      <c r="K230" s="2"/>
      <c r="L230" s="2"/>
      <c r="M230" s="2"/>
      <c r="N230" s="2"/>
      <c r="O230" s="2" t="n">
        <v>18221977</v>
      </c>
      <c r="P230" s="2"/>
      <c r="Q230" s="2" t="s">
        <v>1612</v>
      </c>
      <c r="R230" s="2" t="s">
        <v>1613</v>
      </c>
      <c r="S230" s="2" t="s">
        <v>110</v>
      </c>
      <c r="T230" s="2" t="s">
        <v>111</v>
      </c>
      <c r="U230" s="2" t="s">
        <v>112</v>
      </c>
      <c r="V230" s="2" t="s">
        <v>69</v>
      </c>
      <c r="W230" s="2" t="n">
        <v>49.1</v>
      </c>
      <c r="X230" s="2" t="n">
        <v>50.1</v>
      </c>
      <c r="Y230" s="2" t="s">
        <v>248</v>
      </c>
      <c r="Z230" s="2" t="s">
        <v>1614</v>
      </c>
      <c r="AA230" s="2" t="n">
        <v>0.410936172933565</v>
      </c>
      <c r="AB230" s="2" t="n">
        <v>1.2832354069092</v>
      </c>
      <c r="AC230" s="2" t="n">
        <v>91808.8131550419</v>
      </c>
      <c r="AD230" s="2" t="n">
        <v>292726.876213813</v>
      </c>
      <c r="AE230" s="3" t="n">
        <v>0.31363301635475</v>
      </c>
      <c r="AF230" s="3" t="n">
        <v>-1.67285065398008</v>
      </c>
      <c r="AG230" s="3" t="s">
        <v>57</v>
      </c>
      <c r="AH230" s="2" t="n">
        <v>0.00597513712543034</v>
      </c>
      <c r="AI230" s="2" t="n">
        <v>0.0251521099432833</v>
      </c>
      <c r="AJ230" s="2" t="n">
        <v>11417.0617916191</v>
      </c>
      <c r="AK230" s="2" t="n">
        <v>249892.856878085</v>
      </c>
      <c r="AL230" s="2" t="n">
        <v>170787.52091572</v>
      </c>
      <c r="AM230" s="2" t="n">
        <v>26946.6261884212</v>
      </c>
      <c r="AN230" s="2" t="n">
        <v>0.00000136409140715624</v>
      </c>
      <c r="AO230" s="2" t="n">
        <v>332957.696495596</v>
      </c>
      <c r="AP230" s="2" t="n">
        <v>343958.594367174</v>
      </c>
      <c r="AQ230" s="2" t="n">
        <v>291939.234772516</v>
      </c>
      <c r="AR230" s="2" t="n">
        <v>242667.007010356</v>
      </c>
      <c r="AS230" s="2" t="n">
        <v>252111.848423425</v>
      </c>
    </row>
    <row r="231">
      <c r="A231" s="2" t="s">
        <v>1615</v>
      </c>
      <c r="B231" s="2" t="n">
        <v>237.12343708126</v>
      </c>
      <c r="C231" s="2" t="n">
        <v>3.67618333333333</v>
      </c>
      <c r="D231" s="2" t="s">
        <v>59</v>
      </c>
      <c r="E231" s="2" t="s">
        <v>1616</v>
      </c>
      <c r="F231" s="2" t="n">
        <v>53734</v>
      </c>
      <c r="G231" s="5" t="str">
        <f>HYPERLINK("http://funmeta.oebiotech.com/network/53734", "http://funmeta.oebiotech.com/network/53734")</f>
      </c>
      <c r="H231" s="2" t="s">
        <v>1617</v>
      </c>
      <c r="I231" s="2"/>
      <c r="J231" s="2"/>
      <c r="K231" s="2" t="n">
        <v>73807</v>
      </c>
      <c r="L231" s="2"/>
      <c r="M231" s="2"/>
      <c r="N231" s="2"/>
      <c r="O231" s="2" t="n">
        <v>96814</v>
      </c>
      <c r="P231" s="2" t="s">
        <v>1618</v>
      </c>
      <c r="Q231" s="2" t="s">
        <v>1619</v>
      </c>
      <c r="R231" s="2" t="s">
        <v>1620</v>
      </c>
      <c r="S231" s="2" t="s">
        <v>110</v>
      </c>
      <c r="T231" s="2" t="s">
        <v>111</v>
      </c>
      <c r="U231" s="2" t="s">
        <v>112</v>
      </c>
      <c r="V231" s="2" t="s">
        <v>92</v>
      </c>
      <c r="W231" s="2" t="n">
        <v>60.6</v>
      </c>
      <c r="X231" s="2" t="n">
        <v>96.3</v>
      </c>
      <c r="Y231" s="2" t="s">
        <v>248</v>
      </c>
      <c r="Z231" s="2" t="s">
        <v>1621</v>
      </c>
      <c r="AA231" s="2" t="n">
        <v>0.289128364059266</v>
      </c>
      <c r="AB231" s="2" t="n">
        <v>1.28153556704394</v>
      </c>
      <c r="AC231" s="2" t="n">
        <v>176098.778891705</v>
      </c>
      <c r="AD231" s="2" t="n">
        <v>393000.600802049</v>
      </c>
      <c r="AE231" s="3" t="n">
        <v>0.448087810889645</v>
      </c>
      <c r="AF231" s="3" t="n">
        <v>-1.15814661278043</v>
      </c>
      <c r="AG231" s="3" t="s">
        <v>57</v>
      </c>
      <c r="AH231" s="2" t="n">
        <v>0.011695390449166</v>
      </c>
      <c r="AI231" s="2" t="n">
        <v>0.0398923096810901</v>
      </c>
      <c r="AJ231" s="2" t="n">
        <v>133839.689129151</v>
      </c>
      <c r="AK231" s="2" t="n">
        <v>282249.25314947</v>
      </c>
      <c r="AL231" s="2" t="n">
        <v>245332.054259769</v>
      </c>
      <c r="AM231" s="2" t="n">
        <v>176647.560173549</v>
      </c>
      <c r="AN231" s="2" t="n">
        <v>42425.3377465879</v>
      </c>
      <c r="AO231" s="2" t="n">
        <v>279273.904735384</v>
      </c>
      <c r="AP231" s="2" t="n">
        <v>373481.693548507</v>
      </c>
      <c r="AQ231" s="2" t="n">
        <v>421909.047638567</v>
      </c>
      <c r="AR231" s="2" t="n">
        <v>315256.371749265</v>
      </c>
      <c r="AS231" s="2" t="n">
        <v>575081.986338524</v>
      </c>
    </row>
    <row r="232">
      <c r="A232" s="2" t="s">
        <v>1622</v>
      </c>
      <c r="B232" s="2" t="n">
        <v>203.081780803423</v>
      </c>
      <c r="C232" s="2" t="n">
        <v>3.63791666666667</v>
      </c>
      <c r="D232" s="2" t="s">
        <v>46</v>
      </c>
      <c r="E232" s="2" t="s">
        <v>1623</v>
      </c>
      <c r="F232" s="2" t="n">
        <v>47303</v>
      </c>
      <c r="G232" s="5" t="str">
        <f>HYPERLINK("http://funmeta.oebiotech.com/network/47303", "http://funmeta.oebiotech.com/network/47303")</f>
      </c>
      <c r="H232" s="2" t="s">
        <v>1624</v>
      </c>
      <c r="I232" s="2" t="n">
        <v>33</v>
      </c>
      <c r="J232" s="2"/>
      <c r="K232" s="2" t="n">
        <v>16828</v>
      </c>
      <c r="L232" s="2" t="s">
        <v>1625</v>
      </c>
      <c r="M232" s="2" t="s">
        <v>1626</v>
      </c>
      <c r="N232" s="2" t="s">
        <v>1627</v>
      </c>
      <c r="O232" s="2" t="n">
        <v>6305</v>
      </c>
      <c r="P232" s="2" t="s">
        <v>1628</v>
      </c>
      <c r="Q232" s="2" t="s">
        <v>1629</v>
      </c>
      <c r="R232" s="2" t="s">
        <v>1630</v>
      </c>
      <c r="S232" s="2" t="s">
        <v>51</v>
      </c>
      <c r="T232" s="2" t="s">
        <v>101</v>
      </c>
      <c r="U232" s="2" t="s">
        <v>1631</v>
      </c>
      <c r="V232" s="2" t="s">
        <v>92</v>
      </c>
      <c r="W232" s="2" t="n">
        <v>57.2</v>
      </c>
      <c r="X232" s="2" t="n">
        <v>83.7</v>
      </c>
      <c r="Y232" s="2" t="s">
        <v>55</v>
      </c>
      <c r="Z232" s="2" t="s">
        <v>1632</v>
      </c>
      <c r="AA232" s="2" t="n">
        <v>-4.01978847075025</v>
      </c>
      <c r="AB232" s="2" t="n">
        <v>1.27914501194142</v>
      </c>
      <c r="AC232" s="2" t="n">
        <v>80831.9861336514</v>
      </c>
      <c r="AD232" s="2" t="n">
        <v>257284.507709396</v>
      </c>
      <c r="AE232" s="3" t="n">
        <v>0.314173546061123</v>
      </c>
      <c r="AF232" s="3" t="n">
        <v>-1.67036638648046</v>
      </c>
      <c r="AG232" s="3" t="s">
        <v>57</v>
      </c>
      <c r="AH232" s="2" t="n">
        <v>0.000119744107753274</v>
      </c>
      <c r="AI232" s="2" t="n">
        <v>0.00159840654085235</v>
      </c>
      <c r="AJ232" s="2" t="n">
        <v>76482.5358140637</v>
      </c>
      <c r="AK232" s="2" t="n">
        <v>95790.9476096472</v>
      </c>
      <c r="AL232" s="2" t="n">
        <v>119501.939884739</v>
      </c>
      <c r="AM232" s="2" t="n">
        <v>94625.2007738274</v>
      </c>
      <c r="AN232" s="2" t="n">
        <v>17759.3065859795</v>
      </c>
      <c r="AO232" s="2" t="n">
        <v>249889.856844176</v>
      </c>
      <c r="AP232" s="2" t="n">
        <v>240442.984438881</v>
      </c>
      <c r="AQ232" s="2" t="n">
        <v>330420.879786766</v>
      </c>
      <c r="AR232" s="2" t="n">
        <v>224355.687328665</v>
      </c>
      <c r="AS232" s="2" t="n">
        <v>241313.130148492</v>
      </c>
    </row>
    <row r="233">
      <c r="A233" s="2" t="s">
        <v>1633</v>
      </c>
      <c r="B233" s="2" t="n">
        <v>293.114332109981</v>
      </c>
      <c r="C233" s="2" t="n">
        <v>2.40668333333333</v>
      </c>
      <c r="D233" s="2" t="s">
        <v>46</v>
      </c>
      <c r="E233" s="2" t="s">
        <v>1634</v>
      </c>
      <c r="F233" s="2" t="n">
        <v>82075</v>
      </c>
      <c r="G233" s="5" t="str">
        <f>HYPERLINK("http://funmeta.oebiotech.com/network/82075", "http://funmeta.oebiotech.com/network/82075")</f>
      </c>
      <c r="H233" s="2" t="s">
        <v>1635</v>
      </c>
      <c r="I233" s="2"/>
      <c r="J233" s="2"/>
      <c r="K233" s="2"/>
      <c r="L233" s="2"/>
      <c r="M233" s="2"/>
      <c r="N233" s="2"/>
      <c r="O233" s="2" t="n">
        <v>85950298</v>
      </c>
      <c r="P233" s="2"/>
      <c r="Q233" s="2" t="s">
        <v>1636</v>
      </c>
      <c r="R233" s="2" t="s">
        <v>1637</v>
      </c>
      <c r="S233" s="2" t="s">
        <v>51</v>
      </c>
      <c r="T233" s="2" t="s">
        <v>101</v>
      </c>
      <c r="U233" s="2" t="s">
        <v>1638</v>
      </c>
      <c r="V233" s="2" t="s">
        <v>69</v>
      </c>
      <c r="W233" s="2" t="n">
        <v>48.5</v>
      </c>
      <c r="X233" s="2" t="n">
        <v>46</v>
      </c>
      <c r="Y233" s="2" t="s">
        <v>310</v>
      </c>
      <c r="Z233" s="2" t="s">
        <v>1639</v>
      </c>
      <c r="AA233" s="2" t="n">
        <v>0.148553769566066</v>
      </c>
      <c r="AB233" s="2" t="n">
        <v>1.27236995885224</v>
      </c>
      <c r="AC233" s="2" t="n">
        <v>123528.999962446</v>
      </c>
      <c r="AD233" s="2" t="n">
        <v>333077.615843535</v>
      </c>
      <c r="AE233" s="3" t="n">
        <v>0.370871514885811</v>
      </c>
      <c r="AF233" s="3" t="n">
        <v>-1.43100863025787</v>
      </c>
      <c r="AG233" s="3" t="s">
        <v>57</v>
      </c>
      <c r="AH233" s="2" t="n">
        <v>0.0134707752410026</v>
      </c>
      <c r="AI233" s="2" t="n">
        <v>0.0438305068918795</v>
      </c>
      <c r="AJ233" s="2" t="n">
        <v>67191.2488906297</v>
      </c>
      <c r="AK233" s="2" t="n">
        <v>220712.018238365</v>
      </c>
      <c r="AL233" s="2" t="n">
        <v>209805.581938437</v>
      </c>
      <c r="AM233" s="2" t="n">
        <v>113840.142937866</v>
      </c>
      <c r="AN233" s="2" t="n">
        <v>6096.00780693249</v>
      </c>
      <c r="AO233" s="2" t="n">
        <v>209034.354337903</v>
      </c>
      <c r="AP233" s="2" t="n">
        <v>321307.177303893</v>
      </c>
      <c r="AQ233" s="2" t="n">
        <v>411421.566921025</v>
      </c>
      <c r="AR233" s="2" t="n">
        <v>237523.127968695</v>
      </c>
      <c r="AS233" s="2" t="n">
        <v>486101.852686158</v>
      </c>
    </row>
    <row r="234">
      <c r="A234" s="2" t="s">
        <v>1640</v>
      </c>
      <c r="B234" s="2" t="n">
        <v>302.207544101224</v>
      </c>
      <c r="C234" s="2" t="n">
        <v>4.15081666666667</v>
      </c>
      <c r="D234" s="2" t="s">
        <v>59</v>
      </c>
      <c r="E234" s="2" t="s">
        <v>1641</v>
      </c>
      <c r="F234" s="2" t="n">
        <v>265192</v>
      </c>
      <c r="G234" s="5" t="str">
        <f>HYPERLINK("http://funmeta.oebiotech.com/network/265192", "http://funmeta.oebiotech.com/network/265192")</f>
      </c>
      <c r="H234" s="2"/>
      <c r="I234" s="2" t="n">
        <v>22674</v>
      </c>
      <c r="J234" s="2"/>
      <c r="K234" s="2"/>
      <c r="L234" s="2"/>
      <c r="M234" s="2"/>
      <c r="N234" s="2"/>
      <c r="O234" s="2" t="n">
        <v>145453622</v>
      </c>
      <c r="P234" s="2"/>
      <c r="Q234" s="2" t="s">
        <v>1642</v>
      </c>
      <c r="R234" s="2" t="s">
        <v>1643</v>
      </c>
      <c r="S234" s="2" t="s">
        <v>110</v>
      </c>
      <c r="T234" s="2" t="s">
        <v>111</v>
      </c>
      <c r="U234" s="2" t="s">
        <v>112</v>
      </c>
      <c r="V234" s="2" t="s">
        <v>122</v>
      </c>
      <c r="W234" s="2" t="n">
        <v>49.9</v>
      </c>
      <c r="X234" s="2" t="n">
        <v>23.4</v>
      </c>
      <c r="Y234" s="2" t="s">
        <v>248</v>
      </c>
      <c r="Z234" s="2" t="s">
        <v>870</v>
      </c>
      <c r="AA234" s="2" t="n">
        <v>0.369557225611143</v>
      </c>
      <c r="AB234" s="2" t="n">
        <v>1.26834434299136</v>
      </c>
      <c r="AC234" s="2" t="n">
        <v>61818.348733133</v>
      </c>
      <c r="AD234" s="2" t="n">
        <v>239941.682965144</v>
      </c>
      <c r="AE234" s="3" t="n">
        <v>0.257639056162297</v>
      </c>
      <c r="AF234" s="3" t="n">
        <v>-1.95657678303181</v>
      </c>
      <c r="AG234" s="3" t="s">
        <v>57</v>
      </c>
      <c r="AH234" s="2" t="n">
        <v>0.000486011656269264</v>
      </c>
      <c r="AI234" s="2" t="n">
        <v>0.00408045841489614</v>
      </c>
      <c r="AJ234" s="2" t="n">
        <v>19968.8519873356</v>
      </c>
      <c r="AK234" s="2" t="n">
        <v>125926.297451477</v>
      </c>
      <c r="AL234" s="2" t="n">
        <v>138264.378405782</v>
      </c>
      <c r="AM234" s="2" t="n">
        <v>23093.2980889526</v>
      </c>
      <c r="AN234" s="2" t="n">
        <v>1838.91773211757</v>
      </c>
      <c r="AO234" s="2" t="n">
        <v>266486.642184435</v>
      </c>
      <c r="AP234" s="2" t="n">
        <v>244831.965967477</v>
      </c>
      <c r="AQ234" s="2" t="n">
        <v>262269.996691178</v>
      </c>
      <c r="AR234" s="2" t="n">
        <v>228242.399652439</v>
      </c>
      <c r="AS234" s="2" t="n">
        <v>197877.410330193</v>
      </c>
    </row>
    <row r="235">
      <c r="A235" s="2" t="s">
        <v>1644</v>
      </c>
      <c r="B235" s="2" t="n">
        <v>388.172627394932</v>
      </c>
      <c r="C235" s="2" t="n">
        <v>1.98765</v>
      </c>
      <c r="D235" s="2" t="s">
        <v>46</v>
      </c>
      <c r="E235" s="2" t="s">
        <v>1645</v>
      </c>
      <c r="F235" s="2" t="n">
        <v>259340</v>
      </c>
      <c r="G235" s="5" t="str">
        <f>HYPERLINK("http://funmeta.oebiotech.com/network/259340", "http://funmeta.oebiotech.com/network/259340")</f>
      </c>
      <c r="H235" s="2"/>
      <c r="I235" s="2" t="n">
        <v>16544</v>
      </c>
      <c r="J235" s="2"/>
      <c r="K235" s="2"/>
      <c r="L235" s="2"/>
      <c r="M235" s="2"/>
      <c r="N235" s="2"/>
      <c r="O235" s="2" t="n">
        <v>145459024</v>
      </c>
      <c r="P235" s="2"/>
      <c r="Q235" s="2" t="s">
        <v>1646</v>
      </c>
      <c r="R235" s="2" t="s">
        <v>1647</v>
      </c>
      <c r="S235" s="2" t="s">
        <v>77</v>
      </c>
      <c r="T235" s="2" t="s">
        <v>77</v>
      </c>
      <c r="U235" s="2" t="s">
        <v>77</v>
      </c>
      <c r="V235" s="2" t="s">
        <v>122</v>
      </c>
      <c r="W235" s="2" t="n">
        <v>57.4</v>
      </c>
      <c r="X235" s="2" t="n">
        <v>0</v>
      </c>
      <c r="Y235" s="2" t="s">
        <v>131</v>
      </c>
      <c r="Z235" s="2" t="s">
        <v>1081</v>
      </c>
      <c r="AA235" s="2" t="n">
        <v>0.259318405604566</v>
      </c>
      <c r="AB235" s="2" t="n">
        <v>1.26559360109403</v>
      </c>
      <c r="AC235" s="2" t="n">
        <v>21628.4615622441</v>
      </c>
      <c r="AD235" s="2" t="n">
        <v>182037.649970726</v>
      </c>
      <c r="AE235" s="3" t="n">
        <v>0.118813122261918</v>
      </c>
      <c r="AF235" s="3" t="n">
        <v>-3.0732339121433</v>
      </c>
      <c r="AG235" s="3" t="s">
        <v>57</v>
      </c>
      <c r="AH235" s="2" t="n">
        <v>0.0000039694765894222</v>
      </c>
      <c r="AI235" s="2" t="n">
        <v>0.000347181086776329</v>
      </c>
      <c r="AJ235" s="2" t="n">
        <v>3965.2445289897</v>
      </c>
      <c r="AK235" s="2" t="n">
        <v>45558.7576269459</v>
      </c>
      <c r="AL235" s="2" t="n">
        <v>37979.4495457181</v>
      </c>
      <c r="AM235" s="2" t="n">
        <v>20624.5886098755</v>
      </c>
      <c r="AN235" s="2" t="n">
        <v>14.2674996915463</v>
      </c>
      <c r="AO235" s="2" t="n">
        <v>206184.474916122</v>
      </c>
      <c r="AP235" s="2" t="n">
        <v>169763.210546223</v>
      </c>
      <c r="AQ235" s="2" t="n">
        <v>209898.171651033</v>
      </c>
      <c r="AR235" s="2" t="n">
        <v>150252.030455089</v>
      </c>
      <c r="AS235" s="2" t="n">
        <v>174090.362285163</v>
      </c>
    </row>
    <row r="236">
      <c r="A236" s="2" t="s">
        <v>1648</v>
      </c>
      <c r="B236" s="2" t="n">
        <v>374.156777276618</v>
      </c>
      <c r="C236" s="2" t="n">
        <v>2.10181666666667</v>
      </c>
      <c r="D236" s="2" t="s">
        <v>46</v>
      </c>
      <c r="E236" s="2" t="s">
        <v>1649</v>
      </c>
      <c r="F236" s="2" t="n">
        <v>260745</v>
      </c>
      <c r="G236" s="5" t="str">
        <f>HYPERLINK("http://funmeta.oebiotech.com/network/260745", "http://funmeta.oebiotech.com/network/260745")</f>
      </c>
      <c r="H236" s="2"/>
      <c r="I236" s="2" t="n">
        <v>18024</v>
      </c>
      <c r="J236" s="2"/>
      <c r="K236" s="2"/>
      <c r="L236" s="2"/>
      <c r="M236" s="2"/>
      <c r="N236" s="2"/>
      <c r="O236" s="2" t="n">
        <v>23653126</v>
      </c>
      <c r="P236" s="2"/>
      <c r="Q236" s="2" t="s">
        <v>1650</v>
      </c>
      <c r="R236" s="2" t="s">
        <v>1651</v>
      </c>
      <c r="S236" s="2" t="s">
        <v>77</v>
      </c>
      <c r="T236" s="2" t="s">
        <v>77</v>
      </c>
      <c r="U236" s="2" t="s">
        <v>77</v>
      </c>
      <c r="V236" s="2" t="s">
        <v>54</v>
      </c>
      <c r="W236" s="2" t="n">
        <v>39.8</v>
      </c>
      <c r="X236" s="2" t="n">
        <v>0</v>
      </c>
      <c r="Y236" s="2" t="s">
        <v>290</v>
      </c>
      <c r="Z236" s="2" t="s">
        <v>769</v>
      </c>
      <c r="AA236" s="2" t="n">
        <v>-0.296041099198053</v>
      </c>
      <c r="AB236" s="2" t="n">
        <v>1.26292457688287</v>
      </c>
      <c r="AC236" s="2" t="n">
        <v>57142.5226814642</v>
      </c>
      <c r="AD236" s="2" t="n">
        <v>223998.716777097</v>
      </c>
      <c r="AE236" s="3" t="n">
        <v>0.255102009081271</v>
      </c>
      <c r="AF236" s="3" t="n">
        <v>-1.9708538338138</v>
      </c>
      <c r="AG236" s="3" t="s">
        <v>57</v>
      </c>
      <c r="AH236" s="2" t="n">
        <v>0.0000255774262491646</v>
      </c>
      <c r="AI236" s="2" t="n">
        <v>0.000681289626455021</v>
      </c>
      <c r="AJ236" s="2" t="n">
        <v>38575.8603502824</v>
      </c>
      <c r="AK236" s="2" t="n">
        <v>88608.1811232208</v>
      </c>
      <c r="AL236" s="2" t="n">
        <v>92481.2734894345</v>
      </c>
      <c r="AM236" s="2" t="n">
        <v>61583.6828617133</v>
      </c>
      <c r="AN236" s="2" t="n">
        <v>4463.61558266986</v>
      </c>
      <c r="AO236" s="2" t="n">
        <v>216847.611038518</v>
      </c>
      <c r="AP236" s="2" t="n">
        <v>212802.421376856</v>
      </c>
      <c r="AQ236" s="2" t="n">
        <v>253638.822663532</v>
      </c>
      <c r="AR236" s="2" t="n">
        <v>195887.407785384</v>
      </c>
      <c r="AS236" s="2" t="n">
        <v>240817.321021197</v>
      </c>
    </row>
    <row r="237">
      <c r="A237" s="2" t="s">
        <v>1652</v>
      </c>
      <c r="B237" s="2" t="n">
        <v>345.213484279364</v>
      </c>
      <c r="C237" s="2" t="n">
        <v>4.00308333333333</v>
      </c>
      <c r="D237" s="2" t="s">
        <v>59</v>
      </c>
      <c r="E237" s="2" t="s">
        <v>1653</v>
      </c>
      <c r="F237" s="2" t="n">
        <v>259731</v>
      </c>
      <c r="G237" s="5" t="str">
        <f>HYPERLINK("http://funmeta.oebiotech.com/network/259731", "http://funmeta.oebiotech.com/network/259731")</f>
      </c>
      <c r="H237" s="2"/>
      <c r="I237" s="2" t="n">
        <v>16952</v>
      </c>
      <c r="J237" s="2"/>
      <c r="K237" s="2"/>
      <c r="L237" s="2"/>
      <c r="M237" s="2"/>
      <c r="N237" s="2"/>
      <c r="O237" s="2" t="n">
        <v>145454323</v>
      </c>
      <c r="P237" s="2"/>
      <c r="Q237" s="2" t="s">
        <v>1654</v>
      </c>
      <c r="R237" s="2" t="s">
        <v>1655</v>
      </c>
      <c r="S237" s="2" t="s">
        <v>110</v>
      </c>
      <c r="T237" s="2" t="s">
        <v>111</v>
      </c>
      <c r="U237" s="2" t="s">
        <v>112</v>
      </c>
      <c r="V237" s="2" t="s">
        <v>92</v>
      </c>
      <c r="W237" s="2" t="n">
        <v>49.4</v>
      </c>
      <c r="X237" s="2" t="n">
        <v>46.4</v>
      </c>
      <c r="Y237" s="2" t="s">
        <v>248</v>
      </c>
      <c r="Z237" s="2" t="s">
        <v>1656</v>
      </c>
      <c r="AA237" s="2" t="n">
        <v>0.690959555946337</v>
      </c>
      <c r="AB237" s="2" t="n">
        <v>1.24631993675089</v>
      </c>
      <c r="AC237" s="2" t="n">
        <v>112000.581516549</v>
      </c>
      <c r="AD237" s="2" t="n">
        <v>271151.590402135</v>
      </c>
      <c r="AE237" s="3" t="n">
        <v>0.41305522623137</v>
      </c>
      <c r="AF237" s="3" t="n">
        <v>-1.27559340940834</v>
      </c>
      <c r="AG237" s="3" t="s">
        <v>57</v>
      </c>
      <c r="AH237" s="2" t="n">
        <v>0.000336660031776565</v>
      </c>
      <c r="AI237" s="2" t="n">
        <v>0.00315652445793707</v>
      </c>
      <c r="AJ237" s="2" t="n">
        <v>66242.5928196305</v>
      </c>
      <c r="AK237" s="2" t="n">
        <v>139166.42196599</v>
      </c>
      <c r="AL237" s="2" t="n">
        <v>188986.355719762</v>
      </c>
      <c r="AM237" s="2" t="n">
        <v>67895.6959169189</v>
      </c>
      <c r="AN237" s="2" t="n">
        <v>97711.841160446</v>
      </c>
      <c r="AO237" s="2" t="n">
        <v>303146.68848322</v>
      </c>
      <c r="AP237" s="2" t="n">
        <v>264412.090698132</v>
      </c>
      <c r="AQ237" s="2" t="n">
        <v>291247.960160076</v>
      </c>
      <c r="AR237" s="2" t="n">
        <v>228070.503161949</v>
      </c>
      <c r="AS237" s="2" t="n">
        <v>268880.709507296</v>
      </c>
    </row>
    <row r="238">
      <c r="A238" s="2" t="s">
        <v>1657</v>
      </c>
      <c r="B238" s="2" t="n">
        <v>282.142627625462</v>
      </c>
      <c r="C238" s="2" t="n">
        <v>1.86611666666667</v>
      </c>
      <c r="D238" s="2" t="s">
        <v>59</v>
      </c>
      <c r="E238" s="2" t="s">
        <v>1658</v>
      </c>
      <c r="F238" s="2" t="n">
        <v>262734</v>
      </c>
      <c r="G238" s="5" t="str">
        <f>HYPERLINK("http://funmeta.oebiotech.com/network/262734", "http://funmeta.oebiotech.com/network/262734")</f>
      </c>
      <c r="H238" s="2"/>
      <c r="I238" s="2" t="n">
        <v>20111</v>
      </c>
      <c r="J238" s="2"/>
      <c r="K238" s="2"/>
      <c r="L238" s="2"/>
      <c r="M238" s="2"/>
      <c r="N238" s="2"/>
      <c r="O238" s="2" t="n">
        <v>101619734</v>
      </c>
      <c r="P238" s="2"/>
      <c r="Q238" s="2" t="s">
        <v>1659</v>
      </c>
      <c r="R238" s="2" t="s">
        <v>1660</v>
      </c>
      <c r="S238" s="2" t="s">
        <v>110</v>
      </c>
      <c r="T238" s="2" t="s">
        <v>111</v>
      </c>
      <c r="U238" s="2" t="s">
        <v>112</v>
      </c>
      <c r="V238" s="2" t="s">
        <v>122</v>
      </c>
      <c r="W238" s="2" t="n">
        <v>44.9</v>
      </c>
      <c r="X238" s="2" t="n">
        <v>22.8</v>
      </c>
      <c r="Y238" s="2" t="s">
        <v>363</v>
      </c>
      <c r="Z238" s="2" t="s">
        <v>1661</v>
      </c>
      <c r="AA238" s="2" t="n">
        <v>0.774751563864812</v>
      </c>
      <c r="AB238" s="2" t="n">
        <v>1.2438807010137</v>
      </c>
      <c r="AC238" s="2" t="n">
        <v>51767.1879993875</v>
      </c>
      <c r="AD238" s="2" t="n">
        <v>237673.136148066</v>
      </c>
      <c r="AE238" s="3" t="n">
        <v>0.217808326335785</v>
      </c>
      <c r="AF238" s="3" t="n">
        <v>-2.19886898870334</v>
      </c>
      <c r="AG238" s="3" t="s">
        <v>57</v>
      </c>
      <c r="AH238" s="2" t="n">
        <v>0.00705769149238444</v>
      </c>
      <c r="AI238" s="2" t="n">
        <v>0.0284847060127787</v>
      </c>
      <c r="AJ238" s="2" t="n">
        <v>18286.0369091925</v>
      </c>
      <c r="AK238" s="2" t="n">
        <v>81888.0108261986</v>
      </c>
      <c r="AL238" s="2" t="n">
        <v>142560.968953164</v>
      </c>
      <c r="AM238" s="2" t="n">
        <v>16100.9233070181</v>
      </c>
      <c r="AN238" s="2" t="n">
        <v>0.00000136409140715624</v>
      </c>
      <c r="AO238" s="2" t="n">
        <v>163375.639359374</v>
      </c>
      <c r="AP238" s="2" t="n">
        <v>175394.425308667</v>
      </c>
      <c r="AQ238" s="2" t="n">
        <v>287018.249480565</v>
      </c>
      <c r="AR238" s="2" t="n">
        <v>172447.926883407</v>
      </c>
      <c r="AS238" s="2" t="n">
        <v>390129.439708317</v>
      </c>
    </row>
    <row r="239">
      <c r="A239" s="2" t="s">
        <v>1662</v>
      </c>
      <c r="B239" s="2" t="n">
        <v>380.174733089782</v>
      </c>
      <c r="C239" s="2" t="n">
        <v>5.02951666666667</v>
      </c>
      <c r="D239" s="2" t="s">
        <v>46</v>
      </c>
      <c r="E239" s="2" t="s">
        <v>1663</v>
      </c>
      <c r="F239" s="2" t="n">
        <v>53594</v>
      </c>
      <c r="G239" s="5" t="str">
        <f>HYPERLINK("http://funmeta.oebiotech.com/network/53594", "http://funmeta.oebiotech.com/network/53594")</f>
      </c>
      <c r="H239" s="2" t="s">
        <v>1664</v>
      </c>
      <c r="I239" s="2" t="n">
        <v>3185</v>
      </c>
      <c r="J239" s="2"/>
      <c r="K239" s="2" t="n">
        <v>5801</v>
      </c>
      <c r="L239" s="2" t="s">
        <v>1665</v>
      </c>
      <c r="M239" s="2"/>
      <c r="N239" s="2"/>
      <c r="O239" s="2" t="n">
        <v>3652</v>
      </c>
      <c r="P239" s="2" t="s">
        <v>1666</v>
      </c>
      <c r="Q239" s="2" t="s">
        <v>1667</v>
      </c>
      <c r="R239" s="2" t="s">
        <v>1668</v>
      </c>
      <c r="S239" s="2" t="s">
        <v>51</v>
      </c>
      <c r="T239" s="2" t="s">
        <v>227</v>
      </c>
      <c r="U239" s="2" t="s">
        <v>228</v>
      </c>
      <c r="V239" s="2" t="s">
        <v>54</v>
      </c>
      <c r="W239" s="2" t="n">
        <v>39.7</v>
      </c>
      <c r="X239" s="2" t="n">
        <v>0</v>
      </c>
      <c r="Y239" s="2" t="s">
        <v>131</v>
      </c>
      <c r="Z239" s="2" t="s">
        <v>1669</v>
      </c>
      <c r="AA239" s="2" t="n">
        <v>0.268670440367847</v>
      </c>
      <c r="AB239" s="2" t="n">
        <v>1.22742321782929</v>
      </c>
      <c r="AC239" s="2" t="n">
        <v>5440.57225105337</v>
      </c>
      <c r="AD239" s="2" t="n">
        <v>165456.501038493</v>
      </c>
      <c r="AE239" s="3" t="n">
        <v>0.0328821908894811</v>
      </c>
      <c r="AF239" s="3" t="n">
        <v>-4.92654976301522</v>
      </c>
      <c r="AG239" s="3" t="s">
        <v>57</v>
      </c>
      <c r="AH239" s="2" t="n">
        <v>0.000157291656271995</v>
      </c>
      <c r="AI239" s="2" t="n">
        <v>0.00190439897883035</v>
      </c>
      <c r="AJ239" s="2" t="n">
        <v>12429.3317486176</v>
      </c>
      <c r="AK239" s="2" t="n">
        <v>1340.72555519771</v>
      </c>
      <c r="AL239" s="2" t="n">
        <v>9126.70237452315</v>
      </c>
      <c r="AM239" s="2" t="n">
        <v>3946.22683987571</v>
      </c>
      <c r="AN239" s="2" t="n">
        <v>359.874737052668</v>
      </c>
      <c r="AO239" s="2" t="n">
        <v>132816.7430432</v>
      </c>
      <c r="AP239" s="2" t="n">
        <v>122614.318962877</v>
      </c>
      <c r="AQ239" s="2" t="n">
        <v>239681.797937071</v>
      </c>
      <c r="AR239" s="2" t="n">
        <v>127433.495906995</v>
      </c>
      <c r="AS239" s="2" t="n">
        <v>204736.149342324</v>
      </c>
    </row>
    <row r="240">
      <c r="A240" s="2" t="s">
        <v>1670</v>
      </c>
      <c r="B240" s="2" t="n">
        <v>373.244650934057</v>
      </c>
      <c r="C240" s="2" t="n">
        <v>4.42913333333333</v>
      </c>
      <c r="D240" s="2" t="s">
        <v>59</v>
      </c>
      <c r="E240" s="2" t="s">
        <v>1671</v>
      </c>
      <c r="F240" s="2" t="n">
        <v>261339</v>
      </c>
      <c r="G240" s="5" t="str">
        <f>HYPERLINK("http://funmeta.oebiotech.com/network/261339", "http://funmeta.oebiotech.com/network/261339")</f>
      </c>
      <c r="H240" s="2"/>
      <c r="I240" s="2" t="n">
        <v>18650</v>
      </c>
      <c r="J240" s="2"/>
      <c r="K240" s="2"/>
      <c r="L240" s="2"/>
      <c r="M240" s="2"/>
      <c r="N240" s="2"/>
      <c r="O240" s="2" t="n">
        <v>145455105</v>
      </c>
      <c r="P240" s="2"/>
      <c r="Q240" s="2" t="s">
        <v>1672</v>
      </c>
      <c r="R240" s="2" t="s">
        <v>1673</v>
      </c>
      <c r="S240" s="2" t="s">
        <v>110</v>
      </c>
      <c r="T240" s="2" t="s">
        <v>111</v>
      </c>
      <c r="U240" s="2" t="s">
        <v>112</v>
      </c>
      <c r="V240" s="2" t="s">
        <v>92</v>
      </c>
      <c r="W240" s="2" t="n">
        <v>52.9</v>
      </c>
      <c r="X240" s="2" t="n">
        <v>54.1</v>
      </c>
      <c r="Y240" s="2" t="s">
        <v>248</v>
      </c>
      <c r="Z240" s="2" t="s">
        <v>1674</v>
      </c>
      <c r="AA240" s="2" t="n">
        <v>0.280355636420399</v>
      </c>
      <c r="AB240" s="2" t="n">
        <v>1.22689410984619</v>
      </c>
      <c r="AC240" s="2" t="n">
        <v>84139.9755689994</v>
      </c>
      <c r="AD240" s="2" t="n">
        <v>251158.088046622</v>
      </c>
      <c r="AE240" s="3" t="n">
        <v>0.335008027109128</v>
      </c>
      <c r="AF240" s="3" t="n">
        <v>-1.57773243056535</v>
      </c>
      <c r="AG240" s="3" t="s">
        <v>57</v>
      </c>
      <c r="AH240" s="2" t="n">
        <v>0.00185619848329487</v>
      </c>
      <c r="AI240" s="2" t="n">
        <v>0.0104791166783313</v>
      </c>
      <c r="AJ240" s="2" t="n">
        <v>28686.9164384298</v>
      </c>
      <c r="AK240" s="2" t="n">
        <v>154082.670272807</v>
      </c>
      <c r="AL240" s="2" t="n">
        <v>170798.963895244</v>
      </c>
      <c r="AM240" s="2" t="n">
        <v>62980.5620591761</v>
      </c>
      <c r="AN240" s="2" t="n">
        <v>4150.76517933987</v>
      </c>
      <c r="AO240" s="2" t="n">
        <v>274167.662859237</v>
      </c>
      <c r="AP240" s="2" t="n">
        <v>214656.56099367</v>
      </c>
      <c r="AQ240" s="2" t="n">
        <v>293547.968812377</v>
      </c>
      <c r="AR240" s="2" t="n">
        <v>221513.574473843</v>
      </c>
      <c r="AS240" s="2" t="n">
        <v>251904.673093982</v>
      </c>
    </row>
    <row r="241">
      <c r="A241" s="2" t="s">
        <v>1675</v>
      </c>
      <c r="B241" s="2" t="n">
        <v>281.111749676175</v>
      </c>
      <c r="C241" s="2" t="n">
        <v>3.0804</v>
      </c>
      <c r="D241" s="2" t="s">
        <v>46</v>
      </c>
      <c r="E241" s="2" t="s">
        <v>1676</v>
      </c>
      <c r="F241" s="2" t="n">
        <v>52520</v>
      </c>
      <c r="G241" s="5" t="str">
        <f>HYPERLINK("http://funmeta.oebiotech.com/network/52520", "http://funmeta.oebiotech.com/network/52520")</f>
      </c>
      <c r="H241" s="2" t="s">
        <v>1677</v>
      </c>
      <c r="I241" s="2" t="n">
        <v>2132</v>
      </c>
      <c r="J241" s="2"/>
      <c r="K241" s="2"/>
      <c r="L241" s="2"/>
      <c r="M241" s="2"/>
      <c r="N241" s="2"/>
      <c r="O241" s="2" t="n">
        <v>547559</v>
      </c>
      <c r="P241" s="2" t="s">
        <v>1678</v>
      </c>
      <c r="Q241" s="2" t="s">
        <v>1679</v>
      </c>
      <c r="R241" s="2" t="s">
        <v>1680</v>
      </c>
      <c r="S241" s="2" t="s">
        <v>51</v>
      </c>
      <c r="T241" s="2" t="s">
        <v>1681</v>
      </c>
      <c r="U241" s="2" t="s">
        <v>1682</v>
      </c>
      <c r="V241" s="2" t="s">
        <v>54</v>
      </c>
      <c r="W241" s="2" t="n">
        <v>37.6</v>
      </c>
      <c r="X241" s="2" t="n">
        <v>0</v>
      </c>
      <c r="Y241" s="2" t="s">
        <v>438</v>
      </c>
      <c r="Z241" s="2" t="s">
        <v>1683</v>
      </c>
      <c r="AA241" s="2" t="n">
        <v>-0.144852025165061</v>
      </c>
      <c r="AB241" s="2" t="n">
        <v>1.22307416529532</v>
      </c>
      <c r="AC241" s="2" t="n">
        <v>185632.612928725</v>
      </c>
      <c r="AD241" s="2" t="n">
        <v>380349.614113119</v>
      </c>
      <c r="AE241" s="3" t="n">
        <v>0.488057844784657</v>
      </c>
      <c r="AF241" s="3" t="n">
        <v>-1.03487594825009</v>
      </c>
      <c r="AG241" s="3" t="s">
        <v>57</v>
      </c>
      <c r="AH241" s="2" t="n">
        <v>0.00878059925974432</v>
      </c>
      <c r="AI241" s="2" t="n">
        <v>0.0330258739808098</v>
      </c>
      <c r="AJ241" s="2" t="n">
        <v>148688.941428665</v>
      </c>
      <c r="AK241" s="2" t="n">
        <v>274748.615030648</v>
      </c>
      <c r="AL241" s="2" t="n">
        <v>313901.250911815</v>
      </c>
      <c r="AM241" s="2" t="n">
        <v>181462.370560128</v>
      </c>
      <c r="AN241" s="2" t="n">
        <v>9361.88671236742</v>
      </c>
      <c r="AO241" s="2" t="n">
        <v>371068.866795347</v>
      </c>
      <c r="AP241" s="2" t="n">
        <v>355438.866069599</v>
      </c>
      <c r="AQ241" s="2" t="n">
        <v>390306.307242229</v>
      </c>
      <c r="AR241" s="2" t="n">
        <v>337657.212154108</v>
      </c>
      <c r="AS241" s="2" t="n">
        <v>447276.81830431</v>
      </c>
    </row>
    <row r="242">
      <c r="A242" s="2" t="s">
        <v>1684</v>
      </c>
      <c r="B242" s="2" t="n">
        <v>353.991713803836</v>
      </c>
      <c r="C242" s="2" t="n">
        <v>6.039</v>
      </c>
      <c r="D242" s="2" t="s">
        <v>46</v>
      </c>
      <c r="E242" s="2" t="s">
        <v>1685</v>
      </c>
      <c r="F242" s="2" t="n">
        <v>273692</v>
      </c>
      <c r="G242" s="5" t="str">
        <f>HYPERLINK("http://funmeta.oebiotech.com/network/273692", "http://funmeta.oebiotech.com/network/273692")</f>
      </c>
      <c r="H242" s="2"/>
      <c r="I242" s="2" t="n">
        <v>62943</v>
      </c>
      <c r="J242" s="2"/>
      <c r="K242" s="2"/>
      <c r="L242" s="2"/>
      <c r="M242" s="2"/>
      <c r="N242" s="2"/>
      <c r="O242" s="2" t="n">
        <v>25016417</v>
      </c>
      <c r="P242" s="2" t="s">
        <v>1686</v>
      </c>
      <c r="Q242" s="2" t="s">
        <v>1687</v>
      </c>
      <c r="R242" s="2" t="s">
        <v>1688</v>
      </c>
      <c r="S242" s="2" t="s">
        <v>77</v>
      </c>
      <c r="T242" s="2" t="s">
        <v>77</v>
      </c>
      <c r="U242" s="2" t="s">
        <v>77</v>
      </c>
      <c r="V242" s="2" t="s">
        <v>54</v>
      </c>
      <c r="W242" s="2" t="n">
        <v>36</v>
      </c>
      <c r="X242" s="2" t="n">
        <v>11.5</v>
      </c>
      <c r="Y242" s="2" t="s">
        <v>290</v>
      </c>
      <c r="Z242" s="2" t="s">
        <v>1689</v>
      </c>
      <c r="AA242" s="2" t="n">
        <v>-1.1025772552527</v>
      </c>
      <c r="AB242" s="2" t="n">
        <v>1.21857702107977</v>
      </c>
      <c r="AC242" s="2" t="n">
        <v>33538.7189100513</v>
      </c>
      <c r="AD242" s="2" t="n">
        <v>230447.636874123</v>
      </c>
      <c r="AE242" s="3" t="n">
        <v>0.145537265493294</v>
      </c>
      <c r="AF242" s="3" t="n">
        <v>-2.78053948568038</v>
      </c>
      <c r="AG242" s="3" t="s">
        <v>57</v>
      </c>
      <c r="AH242" s="2" t="n">
        <v>0.021781988268778</v>
      </c>
      <c r="AI242" s="2" t="n">
        <v>0.0610145560492538</v>
      </c>
      <c r="AJ242" s="2" t="n">
        <v>33969.063811617</v>
      </c>
      <c r="AK242" s="2" t="n">
        <v>30024.2214720602</v>
      </c>
      <c r="AL242" s="2" t="n">
        <v>57410.5489282354</v>
      </c>
      <c r="AM242" s="2" t="n">
        <v>42336.0458356451</v>
      </c>
      <c r="AN242" s="2" t="n">
        <v>3953.71450269904</v>
      </c>
      <c r="AO242" s="2" t="n">
        <v>139672.82547959</v>
      </c>
      <c r="AP242" s="2" t="n">
        <v>128045.714095641</v>
      </c>
      <c r="AQ242" s="2" t="n">
        <v>264186.335319111</v>
      </c>
      <c r="AR242" s="2" t="n">
        <v>134135.281728794</v>
      </c>
      <c r="AS242" s="2" t="n">
        <v>486198.027747477</v>
      </c>
    </row>
    <row r="243">
      <c r="A243" s="2" t="s">
        <v>1690</v>
      </c>
      <c r="B243" s="2" t="n">
        <v>191.018654549793</v>
      </c>
      <c r="C243" s="2" t="n">
        <v>1.0628</v>
      </c>
      <c r="D243" s="2" t="s">
        <v>46</v>
      </c>
      <c r="E243" s="2" t="s">
        <v>1691</v>
      </c>
      <c r="F243" s="2" t="n">
        <v>46867</v>
      </c>
      <c r="G243" s="5" t="str">
        <f>HYPERLINK("http://funmeta.oebiotech.com/network/46867", "http://funmeta.oebiotech.com/network/46867")</f>
      </c>
      <c r="H243" s="2" t="s">
        <v>1692</v>
      </c>
      <c r="I243" s="2" t="n">
        <v>124</v>
      </c>
      <c r="J243" s="2"/>
      <c r="K243" s="2" t="n">
        <v>30769</v>
      </c>
      <c r="L243" s="2" t="s">
        <v>1693</v>
      </c>
      <c r="M243" s="2" t="s">
        <v>1694</v>
      </c>
      <c r="N243" s="2" t="s">
        <v>1695</v>
      </c>
      <c r="O243" s="2" t="n">
        <v>311</v>
      </c>
      <c r="P243" s="2" t="s">
        <v>1696</v>
      </c>
      <c r="Q243" s="2" t="s">
        <v>1697</v>
      </c>
      <c r="R243" s="2" t="s">
        <v>1698</v>
      </c>
      <c r="S243" s="2" t="s">
        <v>110</v>
      </c>
      <c r="T243" s="2" t="s">
        <v>111</v>
      </c>
      <c r="U243" s="2" t="s">
        <v>1699</v>
      </c>
      <c r="V243" s="2" t="s">
        <v>92</v>
      </c>
      <c r="W243" s="2" t="n">
        <v>56.1</v>
      </c>
      <c r="X243" s="2" t="n">
        <v>76.9</v>
      </c>
      <c r="Y243" s="2" t="s">
        <v>166</v>
      </c>
      <c r="Z243" s="2" t="s">
        <v>1700</v>
      </c>
      <c r="AA243" s="2" t="n">
        <v>-5.58052603469222</v>
      </c>
      <c r="AB243" s="2" t="n">
        <v>1.21450202966066</v>
      </c>
      <c r="AC243" s="2" t="n">
        <v>231564.126770738</v>
      </c>
      <c r="AD243" s="2" t="n">
        <v>46081.2608347181</v>
      </c>
      <c r="AE243" s="4" t="n">
        <v>5.02512567095984</v>
      </c>
      <c r="AF243" s="4" t="n">
        <v>2.32915967641165</v>
      </c>
      <c r="AG243" s="4" t="s">
        <v>72</v>
      </c>
      <c r="AH243" s="2" t="n">
        <v>0.0183826770137291</v>
      </c>
      <c r="AI243" s="2" t="n">
        <v>0.0545154287957755</v>
      </c>
      <c r="AJ243" s="2" t="n">
        <v>317974.01529156</v>
      </c>
      <c r="AK243" s="2" t="n">
        <v>144982.908275191</v>
      </c>
      <c r="AL243" s="2" t="n">
        <v>101094.288743082</v>
      </c>
      <c r="AM243" s="2" t="n">
        <v>426298.638916905</v>
      </c>
      <c r="AN243" s="2" t="n">
        <v>167470.782626951</v>
      </c>
      <c r="AO243" s="2" t="n">
        <v>44345.3271827311</v>
      </c>
      <c r="AP243" s="2" t="n">
        <v>105483.856865599</v>
      </c>
      <c r="AQ243" s="2" t="n">
        <v>16444.3173564692</v>
      </c>
      <c r="AR243" s="2" t="n">
        <v>41207.0204418473</v>
      </c>
      <c r="AS243" s="2" t="n">
        <v>22925.7823269437</v>
      </c>
    </row>
    <row r="244">
      <c r="A244" s="2" t="s">
        <v>1701</v>
      </c>
      <c r="B244" s="2" t="n">
        <v>253.118522523169</v>
      </c>
      <c r="C244" s="2" t="n">
        <v>1.68068333333333</v>
      </c>
      <c r="D244" s="2" t="s">
        <v>59</v>
      </c>
      <c r="E244" s="2" t="s">
        <v>1702</v>
      </c>
      <c r="F244" s="2" t="n">
        <v>53738</v>
      </c>
      <c r="G244" s="5" t="str">
        <f>HYPERLINK("http://funmeta.oebiotech.com/network/53738", "http://funmeta.oebiotech.com/network/53738")</f>
      </c>
      <c r="H244" s="2" t="s">
        <v>1703</v>
      </c>
      <c r="I244" s="2" t="n">
        <v>23768</v>
      </c>
      <c r="J244" s="2"/>
      <c r="K244" s="2" t="n">
        <v>73395</v>
      </c>
      <c r="L244" s="2"/>
      <c r="M244" s="2"/>
      <c r="N244" s="2"/>
      <c r="O244" s="2" t="n">
        <v>92946</v>
      </c>
      <c r="P244" s="2" t="s">
        <v>1704</v>
      </c>
      <c r="Q244" s="2" t="s">
        <v>1705</v>
      </c>
      <c r="R244" s="2" t="s">
        <v>1706</v>
      </c>
      <c r="S244" s="2" t="s">
        <v>110</v>
      </c>
      <c r="T244" s="2" t="s">
        <v>111</v>
      </c>
      <c r="U244" s="2" t="s">
        <v>112</v>
      </c>
      <c r="V244" s="2" t="s">
        <v>92</v>
      </c>
      <c r="W244" s="2" t="n">
        <v>55.2</v>
      </c>
      <c r="X244" s="2" t="n">
        <v>72.1</v>
      </c>
      <c r="Y244" s="2" t="s">
        <v>236</v>
      </c>
      <c r="Z244" s="2" t="s">
        <v>1707</v>
      </c>
      <c r="AA244" s="2" t="n">
        <v>0.948352918394021</v>
      </c>
      <c r="AB244" s="2" t="n">
        <v>1.2083552138422</v>
      </c>
      <c r="AC244" s="2" t="n">
        <v>114280.529965687</v>
      </c>
      <c r="AD244" s="2" t="n">
        <v>289398.41506558</v>
      </c>
      <c r="AE244" s="3" t="n">
        <v>0.394889964894211</v>
      </c>
      <c r="AF244" s="3" t="n">
        <v>-1.3404773889815</v>
      </c>
      <c r="AG244" s="3" t="s">
        <v>57</v>
      </c>
      <c r="AH244" s="2" t="n">
        <v>0.00371241190725269</v>
      </c>
      <c r="AI244" s="2" t="n">
        <v>0.0177589663481639</v>
      </c>
      <c r="AJ244" s="2" t="n">
        <v>98908.0710743309</v>
      </c>
      <c r="AK244" s="2" t="n">
        <v>168319.324768795</v>
      </c>
      <c r="AL244" s="2" t="n">
        <v>185184.028609375</v>
      </c>
      <c r="AM244" s="2" t="n">
        <v>106998.938271694</v>
      </c>
      <c r="AN244" s="2" t="n">
        <v>11992.287104241</v>
      </c>
      <c r="AO244" s="2" t="n">
        <v>275349.492093368</v>
      </c>
      <c r="AP244" s="2" t="n">
        <v>281741.87427041</v>
      </c>
      <c r="AQ244" s="2" t="n">
        <v>279108.397373654</v>
      </c>
      <c r="AR244" s="2" t="n">
        <v>210737.988697891</v>
      </c>
      <c r="AS244" s="2" t="n">
        <v>400054.322892577</v>
      </c>
    </row>
    <row r="245">
      <c r="A245" s="2" t="s">
        <v>1708</v>
      </c>
      <c r="B245" s="2" t="n">
        <v>415.218867918298</v>
      </c>
      <c r="C245" s="2" t="n">
        <v>3.67618333333333</v>
      </c>
      <c r="D245" s="2" t="s">
        <v>59</v>
      </c>
      <c r="E245" s="2" t="s">
        <v>1709</v>
      </c>
      <c r="F245" s="2" t="n">
        <v>258071</v>
      </c>
      <c r="G245" s="5" t="str">
        <f>HYPERLINK("http://funmeta.oebiotech.com/network/258071", "http://funmeta.oebiotech.com/network/258071")</f>
      </c>
      <c r="H245" s="2"/>
      <c r="I245" s="2" t="n">
        <v>2254</v>
      </c>
      <c r="J245" s="2"/>
      <c r="K245" s="2"/>
      <c r="L245" s="2"/>
      <c r="M245" s="2"/>
      <c r="N245" s="2"/>
      <c r="O245" s="2" t="n">
        <v>73532</v>
      </c>
      <c r="P245" s="2" t="s">
        <v>1710</v>
      </c>
      <c r="Q245" s="2" t="s">
        <v>1711</v>
      </c>
      <c r="R245" s="2" t="s">
        <v>1712</v>
      </c>
      <c r="S245" s="2" t="s">
        <v>428</v>
      </c>
      <c r="T245" s="2" t="s">
        <v>1713</v>
      </c>
      <c r="U245" s="2" t="s">
        <v>77</v>
      </c>
      <c r="V245" s="2" t="s">
        <v>54</v>
      </c>
      <c r="W245" s="2" t="n">
        <v>38.1</v>
      </c>
      <c r="X245" s="2" t="n">
        <v>12</v>
      </c>
      <c r="Y245" s="2" t="s">
        <v>78</v>
      </c>
      <c r="Z245" s="2" t="s">
        <v>1714</v>
      </c>
      <c r="AA245" s="2" t="n">
        <v>-9.36851340476599</v>
      </c>
      <c r="AB245" s="2" t="n">
        <v>1.20569500597566</v>
      </c>
      <c r="AC245" s="2" t="n">
        <v>96153.4380602204</v>
      </c>
      <c r="AD245" s="2" t="n">
        <v>258244.577667784</v>
      </c>
      <c r="AE245" s="3" t="n">
        <v>0.372334780186231</v>
      </c>
      <c r="AF245" s="3" t="n">
        <v>-1.42532770873132</v>
      </c>
      <c r="AG245" s="3" t="s">
        <v>57</v>
      </c>
      <c r="AH245" s="2" t="n">
        <v>0.000797851558378076</v>
      </c>
      <c r="AI245" s="2" t="n">
        <v>0.0057649939976517</v>
      </c>
      <c r="AJ245" s="2" t="n">
        <v>61545.0353310775</v>
      </c>
      <c r="AK245" s="2" t="n">
        <v>138542.790985489</v>
      </c>
      <c r="AL245" s="2" t="n">
        <v>157486.142533402</v>
      </c>
      <c r="AM245" s="2" t="n">
        <v>116392.70421182</v>
      </c>
      <c r="AN245" s="2" t="n">
        <v>6800.51723931338</v>
      </c>
      <c r="AO245" s="2" t="n">
        <v>276691.403369806</v>
      </c>
      <c r="AP245" s="2" t="n">
        <v>262224.46827787</v>
      </c>
      <c r="AQ245" s="2" t="n">
        <v>299567.776984987</v>
      </c>
      <c r="AR245" s="2" t="n">
        <v>225147.608619869</v>
      </c>
      <c r="AS245" s="2" t="n">
        <v>227591.631086386</v>
      </c>
    </row>
    <row r="246">
      <c r="A246" s="2" t="s">
        <v>1715</v>
      </c>
      <c r="B246" s="2" t="n">
        <v>203.066421152346</v>
      </c>
      <c r="C246" s="2" t="n">
        <v>0.704366666666667</v>
      </c>
      <c r="D246" s="2" t="s">
        <v>46</v>
      </c>
      <c r="E246" s="2" t="s">
        <v>1716</v>
      </c>
      <c r="F246" s="2" t="n">
        <v>51451</v>
      </c>
      <c r="G246" s="5" t="str">
        <f>HYPERLINK("http://funmeta.oebiotech.com/network/51451", "http://funmeta.oebiotech.com/network/51451")</f>
      </c>
      <c r="H246" s="2" t="s">
        <v>1717</v>
      </c>
      <c r="I246" s="2"/>
      <c r="J246" s="2"/>
      <c r="K246" s="2" t="n">
        <v>73845</v>
      </c>
      <c r="L246" s="2"/>
      <c r="M246" s="2"/>
      <c r="N246" s="2"/>
      <c r="O246" s="2" t="n">
        <v>165527</v>
      </c>
      <c r="P246" s="2" t="s">
        <v>1718</v>
      </c>
      <c r="Q246" s="2" t="s">
        <v>1719</v>
      </c>
      <c r="R246" s="2" t="s">
        <v>1720</v>
      </c>
      <c r="S246" s="2" t="s">
        <v>110</v>
      </c>
      <c r="T246" s="2" t="s">
        <v>111</v>
      </c>
      <c r="U246" s="2" t="s">
        <v>112</v>
      </c>
      <c r="V246" s="2" t="s">
        <v>122</v>
      </c>
      <c r="W246" s="2" t="n">
        <v>49.3</v>
      </c>
      <c r="X246" s="2" t="n">
        <v>40.8</v>
      </c>
      <c r="Y246" s="2" t="s">
        <v>290</v>
      </c>
      <c r="Z246" s="2" t="s">
        <v>1721</v>
      </c>
      <c r="AA246" s="2" t="n">
        <v>-4.52730421482066</v>
      </c>
      <c r="AB246" s="2" t="n">
        <v>1.20364711858876</v>
      </c>
      <c r="AC246" s="2" t="n">
        <v>91507.5093462041</v>
      </c>
      <c r="AD246" s="2" t="n">
        <v>252972.775228079</v>
      </c>
      <c r="AE246" s="3" t="n">
        <v>0.36172868508756</v>
      </c>
      <c r="AF246" s="3" t="n">
        <v>-1.46702008662921</v>
      </c>
      <c r="AG246" s="3" t="s">
        <v>57</v>
      </c>
      <c r="AH246" s="2" t="n">
        <v>0.000507012352703763</v>
      </c>
      <c r="AI246" s="2" t="n">
        <v>0.00417288256579221</v>
      </c>
      <c r="AJ246" s="2" t="n">
        <v>84778.6066729557</v>
      </c>
      <c r="AK246" s="2" t="n">
        <v>140010.327152891</v>
      </c>
      <c r="AL246" s="2" t="n">
        <v>121187.878282206</v>
      </c>
      <c r="AM246" s="2" t="n">
        <v>91820.6183223358</v>
      </c>
      <c r="AN246" s="2" t="n">
        <v>19740.1163006318</v>
      </c>
      <c r="AO246" s="2" t="n">
        <v>229956.050221184</v>
      </c>
      <c r="AP246" s="2" t="n">
        <v>255887.062791313</v>
      </c>
      <c r="AQ246" s="2" t="n">
        <v>288029.927130046</v>
      </c>
      <c r="AR246" s="2" t="n">
        <v>189432.376128623</v>
      </c>
      <c r="AS246" s="2" t="n">
        <v>301558.45986923</v>
      </c>
    </row>
    <row r="247">
      <c r="A247" s="2" t="s">
        <v>1722</v>
      </c>
      <c r="B247" s="2" t="n">
        <v>443.250484160185</v>
      </c>
      <c r="C247" s="2" t="n">
        <v>4.00308333333333</v>
      </c>
      <c r="D247" s="2" t="s">
        <v>59</v>
      </c>
      <c r="E247" s="2" t="s">
        <v>1723</v>
      </c>
      <c r="F247" s="2" t="n">
        <v>263663</v>
      </c>
      <c r="G247" s="5" t="str">
        <f>HYPERLINK("http://funmeta.oebiotech.com/network/263663", "http://funmeta.oebiotech.com/network/263663")</f>
      </c>
      <c r="H247" s="2"/>
      <c r="I247" s="2" t="n">
        <v>21090</v>
      </c>
      <c r="J247" s="2"/>
      <c r="K247" s="2"/>
      <c r="L247" s="2"/>
      <c r="M247" s="2"/>
      <c r="N247" s="2"/>
      <c r="O247" s="2" t="n">
        <v>145453746</v>
      </c>
      <c r="P247" s="2"/>
      <c r="Q247" s="2" t="s">
        <v>1724</v>
      </c>
      <c r="R247" s="2" t="s">
        <v>1725</v>
      </c>
      <c r="S247" s="2" t="s">
        <v>110</v>
      </c>
      <c r="T247" s="2" t="s">
        <v>111</v>
      </c>
      <c r="U247" s="2" t="s">
        <v>112</v>
      </c>
      <c r="V247" s="2" t="s">
        <v>122</v>
      </c>
      <c r="W247" s="2" t="n">
        <v>55</v>
      </c>
      <c r="X247" s="2" t="n">
        <v>8.42</v>
      </c>
      <c r="Y247" s="2" t="s">
        <v>70</v>
      </c>
      <c r="Z247" s="2" t="s">
        <v>1726</v>
      </c>
      <c r="AA247" s="2" t="n">
        <v>7.39304651451291</v>
      </c>
      <c r="AB247" s="2" t="n">
        <v>1.20281106778234</v>
      </c>
      <c r="AC247" s="2" t="n">
        <v>87078.2271604026</v>
      </c>
      <c r="AD247" s="2" t="n">
        <v>254028.255534025</v>
      </c>
      <c r="AE247" s="3" t="n">
        <v>0.342789533303469</v>
      </c>
      <c r="AF247" s="3" t="n">
        <v>-1.54460503585035</v>
      </c>
      <c r="AG247" s="3" t="s">
        <v>57</v>
      </c>
      <c r="AH247" s="2" t="n">
        <v>0.0000934179676415979</v>
      </c>
      <c r="AI247" s="2" t="n">
        <v>0.0013616653504931</v>
      </c>
      <c r="AJ247" s="2" t="n">
        <v>130786.095554074</v>
      </c>
      <c r="AK247" s="2" t="n">
        <v>91515.7091177774</v>
      </c>
      <c r="AL247" s="2" t="n">
        <v>111589.527772194</v>
      </c>
      <c r="AM247" s="2" t="n">
        <v>90739.7967527846</v>
      </c>
      <c r="AN247" s="2" t="n">
        <v>10760.0066051828</v>
      </c>
      <c r="AO247" s="2" t="n">
        <v>259993.847866776</v>
      </c>
      <c r="AP247" s="2" t="n">
        <v>236863.673773353</v>
      </c>
      <c r="AQ247" s="2" t="n">
        <v>251988.234792646</v>
      </c>
      <c r="AR247" s="2" t="n">
        <v>229069.901884291</v>
      </c>
      <c r="AS247" s="2" t="n">
        <v>292225.619353057</v>
      </c>
    </row>
    <row r="248">
      <c r="A248" s="2" t="s">
        <v>1727</v>
      </c>
      <c r="B248" s="2" t="n">
        <v>348.176729902362</v>
      </c>
      <c r="C248" s="2" t="n">
        <v>3.60746666666667</v>
      </c>
      <c r="D248" s="2" t="s">
        <v>59</v>
      </c>
      <c r="E248" s="2" t="s">
        <v>1728</v>
      </c>
      <c r="F248" s="2" t="n">
        <v>265860</v>
      </c>
      <c r="G248" s="5" t="str">
        <f>HYPERLINK("http://funmeta.oebiotech.com/network/265860", "http://funmeta.oebiotech.com/network/265860")</f>
      </c>
      <c r="H248" s="2"/>
      <c r="I248" s="2" t="n">
        <v>23371</v>
      </c>
      <c r="J248" s="2"/>
      <c r="K248" s="2"/>
      <c r="L248" s="2"/>
      <c r="M248" s="2"/>
      <c r="N248" s="2"/>
      <c r="O248" s="2" t="n">
        <v>145457992</v>
      </c>
      <c r="P248" s="2"/>
      <c r="Q248" s="2" t="s">
        <v>1729</v>
      </c>
      <c r="R248" s="2" t="s">
        <v>1730</v>
      </c>
      <c r="S248" s="2" t="s">
        <v>77</v>
      </c>
      <c r="T248" s="2" t="s">
        <v>77</v>
      </c>
      <c r="U248" s="2" t="s">
        <v>77</v>
      </c>
      <c r="V248" s="2" t="s">
        <v>122</v>
      </c>
      <c r="W248" s="2" t="n">
        <v>48.3</v>
      </c>
      <c r="X248" s="2" t="n">
        <v>31.8</v>
      </c>
      <c r="Y248" s="2" t="s">
        <v>248</v>
      </c>
      <c r="Z248" s="2" t="s">
        <v>1157</v>
      </c>
      <c r="AA248" s="2" t="n">
        <v>0.585643147580977</v>
      </c>
      <c r="AB248" s="2" t="n">
        <v>1.20148777583887</v>
      </c>
      <c r="AC248" s="2" t="n">
        <v>169577.918662093</v>
      </c>
      <c r="AD248" s="2" t="n">
        <v>363198.678494085</v>
      </c>
      <c r="AE248" s="3" t="n">
        <v>0.466901254611406</v>
      </c>
      <c r="AF248" s="3" t="n">
        <v>-1.09881062963298</v>
      </c>
      <c r="AG248" s="3" t="s">
        <v>57</v>
      </c>
      <c r="AH248" s="2" t="n">
        <v>0.0225078602022446</v>
      </c>
      <c r="AI248" s="2" t="n">
        <v>0.0623330042104632</v>
      </c>
      <c r="AJ248" s="2" t="n">
        <v>77500.3706870581</v>
      </c>
      <c r="AK248" s="2" t="n">
        <v>324714.328679171</v>
      </c>
      <c r="AL248" s="2" t="n">
        <v>313005.137879059</v>
      </c>
      <c r="AM248" s="2" t="n">
        <v>108517.418684598</v>
      </c>
      <c r="AN248" s="2" t="n">
        <v>24152.3373805786</v>
      </c>
      <c r="AO248" s="2" t="n">
        <v>467759.592826667</v>
      </c>
      <c r="AP248" s="2" t="n">
        <v>361851.508677583</v>
      </c>
      <c r="AQ248" s="2" t="n">
        <v>356991.440840505</v>
      </c>
      <c r="AR248" s="2" t="n">
        <v>332557.022278555</v>
      </c>
      <c r="AS248" s="2" t="n">
        <v>296833.827847113</v>
      </c>
    </row>
    <row r="249">
      <c r="A249" s="2" t="s">
        <v>1731</v>
      </c>
      <c r="B249" s="2" t="n">
        <v>326.143117638648</v>
      </c>
      <c r="C249" s="2" t="n">
        <v>8.23143333333333</v>
      </c>
      <c r="D249" s="2" t="s">
        <v>46</v>
      </c>
      <c r="E249" s="2" t="s">
        <v>1732</v>
      </c>
      <c r="F249" s="2" t="n">
        <v>200133</v>
      </c>
      <c r="G249" s="5" t="str">
        <f>HYPERLINK("http://funmeta.oebiotech.com/network/200133", "http://funmeta.oebiotech.com/network/200133")</f>
      </c>
      <c r="H249" s="2" t="s">
        <v>1733</v>
      </c>
      <c r="I249" s="2"/>
      <c r="J249" s="2"/>
      <c r="K249" s="2"/>
      <c r="L249" s="2"/>
      <c r="M249" s="2"/>
      <c r="N249" s="2"/>
      <c r="O249" s="2" t="n">
        <v>22283003</v>
      </c>
      <c r="P249" s="2"/>
      <c r="Q249" s="2" t="s">
        <v>1734</v>
      </c>
      <c r="R249" s="2" t="s">
        <v>1735</v>
      </c>
      <c r="S249" s="2" t="s">
        <v>77</v>
      </c>
      <c r="T249" s="2" t="s">
        <v>77</v>
      </c>
      <c r="U249" s="2" t="s">
        <v>77</v>
      </c>
      <c r="V249" s="2" t="s">
        <v>54</v>
      </c>
      <c r="W249" s="2" t="n">
        <v>38.5</v>
      </c>
      <c r="X249" s="2" t="n">
        <v>0</v>
      </c>
      <c r="Y249" s="2" t="s">
        <v>131</v>
      </c>
      <c r="Z249" s="2" t="s">
        <v>1736</v>
      </c>
      <c r="AA249" s="2" t="n">
        <v>-0.125248138527719</v>
      </c>
      <c r="AB249" s="2" t="n">
        <v>1.19077639195768</v>
      </c>
      <c r="AC249" s="2" t="n">
        <v>6052.62684932903</v>
      </c>
      <c r="AD249" s="2" t="n">
        <v>169140.905279934</v>
      </c>
      <c r="AE249" s="3" t="n">
        <v>0.0357845243840437</v>
      </c>
      <c r="AF249" s="3" t="n">
        <v>-4.80452038500736</v>
      </c>
      <c r="AG249" s="3" t="s">
        <v>57</v>
      </c>
      <c r="AH249" s="2" t="n">
        <v>0.008020473818027</v>
      </c>
      <c r="AI249" s="2" t="n">
        <v>0.0310042343927462</v>
      </c>
      <c r="AJ249" s="2" t="n">
        <v>21803.506044123</v>
      </c>
      <c r="AK249" s="2" t="n">
        <v>903.857061773782</v>
      </c>
      <c r="AL249" s="2" t="n">
        <v>4198.28623902711</v>
      </c>
      <c r="AM249" s="2" t="n">
        <v>2141.03686532061</v>
      </c>
      <c r="AN249" s="2" t="n">
        <v>1216.44803640065</v>
      </c>
      <c r="AO249" s="2" t="n">
        <v>189284.44966393</v>
      </c>
      <c r="AP249" s="2" t="n">
        <v>111322.715201171</v>
      </c>
      <c r="AQ249" s="2" t="n">
        <v>195204.475349002</v>
      </c>
      <c r="AR249" s="2" t="n">
        <v>36220.5012898462</v>
      </c>
      <c r="AS249" s="2" t="n">
        <v>313672.384895721</v>
      </c>
    </row>
    <row r="250">
      <c r="A250" s="2" t="s">
        <v>1737</v>
      </c>
      <c r="B250" s="2" t="n">
        <v>227.102690688752</v>
      </c>
      <c r="C250" s="2" t="n">
        <v>1.07008333333333</v>
      </c>
      <c r="D250" s="2" t="s">
        <v>59</v>
      </c>
      <c r="E250" s="2" t="s">
        <v>1738</v>
      </c>
      <c r="F250" s="2" t="n">
        <v>54160</v>
      </c>
      <c r="G250" s="5" t="str">
        <f>HYPERLINK("http://funmeta.oebiotech.com/network/54160", "http://funmeta.oebiotech.com/network/54160")</f>
      </c>
      <c r="H250" s="2" t="s">
        <v>1739</v>
      </c>
      <c r="I250" s="2"/>
      <c r="J250" s="2"/>
      <c r="K250" s="2"/>
      <c r="L250" s="2"/>
      <c r="M250" s="2"/>
      <c r="N250" s="2"/>
      <c r="O250" s="2" t="n">
        <v>9856242</v>
      </c>
      <c r="P250" s="2" t="s">
        <v>1740</v>
      </c>
      <c r="Q250" s="2" t="s">
        <v>1741</v>
      </c>
      <c r="R250" s="2" t="s">
        <v>1742</v>
      </c>
      <c r="S250" s="2" t="s">
        <v>110</v>
      </c>
      <c r="T250" s="2" t="s">
        <v>111</v>
      </c>
      <c r="U250" s="2" t="s">
        <v>112</v>
      </c>
      <c r="V250" s="2" t="s">
        <v>54</v>
      </c>
      <c r="W250" s="2" t="n">
        <v>47.5</v>
      </c>
      <c r="X250" s="2" t="n">
        <v>42.4</v>
      </c>
      <c r="Y250" s="2" t="s">
        <v>1743</v>
      </c>
      <c r="Z250" s="2" t="s">
        <v>1744</v>
      </c>
      <c r="AA250" s="2" t="n">
        <v>0.234808854236348</v>
      </c>
      <c r="AB250" s="2" t="n">
        <v>1.19012048906454</v>
      </c>
      <c r="AC250" s="2" t="n">
        <v>89204.0946428474</v>
      </c>
      <c r="AD250" s="2" t="n">
        <v>270010.130088364</v>
      </c>
      <c r="AE250" s="3" t="n">
        <v>0.330373140495337</v>
      </c>
      <c r="AF250" s="3" t="n">
        <v>-1.59783169520427</v>
      </c>
      <c r="AG250" s="3" t="s">
        <v>57</v>
      </c>
      <c r="AH250" s="2" t="n">
        <v>0.0214119841849811</v>
      </c>
      <c r="AI250" s="2" t="n">
        <v>0.0602099240078027</v>
      </c>
      <c r="AJ250" s="2" t="n">
        <v>68877.234591449</v>
      </c>
      <c r="AK250" s="2" t="n">
        <v>142091.248712421</v>
      </c>
      <c r="AL250" s="2" t="n">
        <v>106012.613360529</v>
      </c>
      <c r="AM250" s="2" t="n">
        <v>113292.722116562</v>
      </c>
      <c r="AN250" s="2" t="n">
        <v>15746.6544332761</v>
      </c>
      <c r="AO250" s="2" t="n">
        <v>193174.86967416</v>
      </c>
      <c r="AP250" s="2" t="n">
        <v>184919.250995373</v>
      </c>
      <c r="AQ250" s="2" t="n">
        <v>472906.016135163</v>
      </c>
      <c r="AR250" s="2" t="n">
        <v>160754.300850211</v>
      </c>
      <c r="AS250" s="2" t="n">
        <v>338296.212786915</v>
      </c>
    </row>
    <row r="251">
      <c r="A251" s="2" t="s">
        <v>1745</v>
      </c>
      <c r="B251" s="2" t="n">
        <v>386.162021277381</v>
      </c>
      <c r="C251" s="2" t="n">
        <v>8.49446666666667</v>
      </c>
      <c r="D251" s="2" t="s">
        <v>46</v>
      </c>
      <c r="E251" s="2" t="s">
        <v>1746</v>
      </c>
      <c r="F251" s="2" t="n">
        <v>209595</v>
      </c>
      <c r="G251" s="5" t="str">
        <f>HYPERLINK("http://funmeta.oebiotech.com/network/209595", "http://funmeta.oebiotech.com/network/209595")</f>
      </c>
      <c r="H251" s="2" t="s">
        <v>1747</v>
      </c>
      <c r="I251" s="2"/>
      <c r="J251" s="2"/>
      <c r="K251" s="2"/>
      <c r="L251" s="2"/>
      <c r="M251" s="2"/>
      <c r="N251" s="2"/>
      <c r="O251" s="2"/>
      <c r="P251" s="2"/>
      <c r="Q251" s="2" t="s">
        <v>1748</v>
      </c>
      <c r="R251" s="2" t="s">
        <v>1749</v>
      </c>
      <c r="S251" s="2" t="s">
        <v>77</v>
      </c>
      <c r="T251" s="2" t="s">
        <v>77</v>
      </c>
      <c r="U251" s="2" t="s">
        <v>77</v>
      </c>
      <c r="V251" s="2" t="s">
        <v>69</v>
      </c>
      <c r="W251" s="2" t="n">
        <v>51.6</v>
      </c>
      <c r="X251" s="2" t="n">
        <v>68.2</v>
      </c>
      <c r="Y251" s="2" t="s">
        <v>438</v>
      </c>
      <c r="Z251" s="2" t="s">
        <v>1750</v>
      </c>
      <c r="AA251" s="2" t="n">
        <v>2.73999997561429</v>
      </c>
      <c r="AB251" s="2" t="n">
        <v>1.18954247781707</v>
      </c>
      <c r="AC251" s="2" t="n">
        <v>76528.2402931853</v>
      </c>
      <c r="AD251" s="2" t="n">
        <v>282571.172275057</v>
      </c>
      <c r="AE251" s="3" t="n">
        <v>0.270828194104288</v>
      </c>
      <c r="AF251" s="3" t="n">
        <v>-1.88455015886537</v>
      </c>
      <c r="AG251" s="3" t="s">
        <v>57</v>
      </c>
      <c r="AH251" s="2" t="n">
        <v>0.0474340123739852</v>
      </c>
      <c r="AI251" s="2" t="n">
        <v>0.101335513128528</v>
      </c>
      <c r="AJ251" s="2" t="n">
        <v>230352.811002352</v>
      </c>
      <c r="AK251" s="2" t="n">
        <v>13331.7811606711</v>
      </c>
      <c r="AL251" s="2" t="n">
        <v>104256.690132796</v>
      </c>
      <c r="AM251" s="2" t="n">
        <v>34273.4405235412</v>
      </c>
      <c r="AN251" s="2" t="n">
        <v>426.478646566097</v>
      </c>
      <c r="AO251" s="2" t="n">
        <v>516909.487090057</v>
      </c>
      <c r="AP251" s="2" t="n">
        <v>158589.11914618</v>
      </c>
      <c r="AQ251" s="2" t="n">
        <v>304848.795738935</v>
      </c>
      <c r="AR251" s="2" t="n">
        <v>75687.4827795659</v>
      </c>
      <c r="AS251" s="2" t="n">
        <v>356820.976620548</v>
      </c>
    </row>
    <row r="252">
      <c r="A252" s="2" t="s">
        <v>1751</v>
      </c>
      <c r="B252" s="2" t="n">
        <v>356.149665313071</v>
      </c>
      <c r="C252" s="2" t="n">
        <v>6.3046</v>
      </c>
      <c r="D252" s="2" t="s">
        <v>59</v>
      </c>
      <c r="E252" s="2" t="s">
        <v>1752</v>
      </c>
      <c r="F252" s="2" t="n">
        <v>54296</v>
      </c>
      <c r="G252" s="5" t="str">
        <f>HYPERLINK("http://funmeta.oebiotech.com/network/54296", "http://funmeta.oebiotech.com/network/54296")</f>
      </c>
      <c r="H252" s="2" t="s">
        <v>1753</v>
      </c>
      <c r="I252" s="2" t="n">
        <v>86191</v>
      </c>
      <c r="J252" s="2"/>
      <c r="K252" s="2" t="n">
        <v>659786</v>
      </c>
      <c r="L252" s="2"/>
      <c r="M252" s="2"/>
      <c r="N252" s="2"/>
      <c r="O252" s="2" t="n">
        <v>5317837</v>
      </c>
      <c r="P252" s="2" t="s">
        <v>1754</v>
      </c>
      <c r="Q252" s="2" t="s">
        <v>1755</v>
      </c>
      <c r="R252" s="2" t="s">
        <v>1756</v>
      </c>
      <c r="S252" s="2" t="s">
        <v>51</v>
      </c>
      <c r="T252" s="2" t="s">
        <v>227</v>
      </c>
      <c r="U252" s="2" t="s">
        <v>1757</v>
      </c>
      <c r="V252" s="2" t="s">
        <v>54</v>
      </c>
      <c r="W252" s="2" t="n">
        <v>40.7</v>
      </c>
      <c r="X252" s="2" t="n">
        <v>10.8</v>
      </c>
      <c r="Y252" s="2" t="s">
        <v>332</v>
      </c>
      <c r="Z252" s="2" t="s">
        <v>749</v>
      </c>
      <c r="AA252" s="2" t="n">
        <v>1.17165818969868</v>
      </c>
      <c r="AB252" s="2" t="n">
        <v>1.18526790805741</v>
      </c>
      <c r="AC252" s="2" t="n">
        <v>218863.477184716</v>
      </c>
      <c r="AD252" s="2" t="n">
        <v>38572.4357043263</v>
      </c>
      <c r="AE252" s="4" t="n">
        <v>5.67409014204847</v>
      </c>
      <c r="AF252" s="4" t="n">
        <v>2.50438907032558</v>
      </c>
      <c r="AG252" s="4" t="s">
        <v>72</v>
      </c>
      <c r="AH252" s="2" t="n">
        <v>0.0329274318173325</v>
      </c>
      <c r="AI252" s="2" t="n">
        <v>0.0806076406322881</v>
      </c>
      <c r="AJ252" s="2" t="n">
        <v>307310.273611058</v>
      </c>
      <c r="AK252" s="2" t="n">
        <v>386808.289807994</v>
      </c>
      <c r="AL252" s="2" t="n">
        <v>109846.287213751</v>
      </c>
      <c r="AM252" s="2" t="n">
        <v>284015.20523705</v>
      </c>
      <c r="AN252" s="2" t="n">
        <v>6337.33005372873</v>
      </c>
      <c r="AO252" s="2" t="n">
        <v>27129.0931006946</v>
      </c>
      <c r="AP252" s="2" t="n">
        <v>27550.7879531213</v>
      </c>
      <c r="AQ252" s="2" t="n">
        <v>54576.0787707148</v>
      </c>
      <c r="AR252" s="2" t="n">
        <v>30094.0628648122</v>
      </c>
      <c r="AS252" s="2" t="n">
        <v>53512.1558322888</v>
      </c>
    </row>
    <row r="253">
      <c r="A253" s="2" t="s">
        <v>1758</v>
      </c>
      <c r="B253" s="2" t="n">
        <v>176.065980437472</v>
      </c>
      <c r="C253" s="2" t="n">
        <v>1.3551</v>
      </c>
      <c r="D253" s="2" t="s">
        <v>59</v>
      </c>
      <c r="E253" s="2" t="s">
        <v>1759</v>
      </c>
      <c r="F253" s="2" t="n">
        <v>47074</v>
      </c>
      <c r="G253" s="5" t="str">
        <f>HYPERLINK("http://funmeta.oebiotech.com/network/47074", "http://funmeta.oebiotech.com/network/47074")</f>
      </c>
      <c r="H253" s="2" t="s">
        <v>1760</v>
      </c>
      <c r="I253" s="2" t="n">
        <v>320</v>
      </c>
      <c r="J253" s="2"/>
      <c r="K253" s="2" t="n">
        <v>30865</v>
      </c>
      <c r="L253" s="2" t="s">
        <v>1761</v>
      </c>
      <c r="M253" s="2" t="s">
        <v>722</v>
      </c>
      <c r="N253" s="2" t="s">
        <v>723</v>
      </c>
      <c r="O253" s="2" t="n">
        <v>648</v>
      </c>
      <c r="P253" s="2" t="s">
        <v>1762</v>
      </c>
      <c r="Q253" s="2" t="s">
        <v>1763</v>
      </c>
      <c r="R253" s="2" t="s">
        <v>1764</v>
      </c>
      <c r="S253" s="2" t="s">
        <v>110</v>
      </c>
      <c r="T253" s="2" t="s">
        <v>111</v>
      </c>
      <c r="U253" s="2" t="s">
        <v>112</v>
      </c>
      <c r="V253" s="2" t="s">
        <v>54</v>
      </c>
      <c r="W253" s="2" t="n">
        <v>38.6</v>
      </c>
      <c r="X253" s="2" t="n">
        <v>0.0977</v>
      </c>
      <c r="Y253" s="2" t="s">
        <v>70</v>
      </c>
      <c r="Z253" s="2" t="s">
        <v>1765</v>
      </c>
      <c r="AA253" s="2" t="n">
        <v>-3.80789907656309</v>
      </c>
      <c r="AB253" s="2" t="n">
        <v>1.1839944999579</v>
      </c>
      <c r="AC253" s="2" t="n">
        <v>196058.726246574</v>
      </c>
      <c r="AD253" s="2" t="n">
        <v>22940.3660151999</v>
      </c>
      <c r="AE253" s="4" t="n">
        <v>8.54645153075014</v>
      </c>
      <c r="AF253" s="4" t="n">
        <v>3.09532554027735</v>
      </c>
      <c r="AG253" s="4" t="s">
        <v>72</v>
      </c>
      <c r="AH253" s="2" t="n">
        <v>0.0167571609773741</v>
      </c>
      <c r="AI253" s="2" t="n">
        <v>0.0511862543661536</v>
      </c>
      <c r="AJ253" s="2" t="n">
        <v>349914.159341966</v>
      </c>
      <c r="AK253" s="2" t="n">
        <v>69175.4416794274</v>
      </c>
      <c r="AL253" s="2" t="n">
        <v>58758.6461271377</v>
      </c>
      <c r="AM253" s="2" t="n">
        <v>225486.066449305</v>
      </c>
      <c r="AN253" s="2" t="n">
        <v>276959.317635032</v>
      </c>
      <c r="AO253" s="2" t="n">
        <v>21876.4401428465</v>
      </c>
      <c r="AP253" s="2" t="n">
        <v>24050.2881034335</v>
      </c>
      <c r="AQ253" s="2" t="n">
        <v>20075.1108616385</v>
      </c>
      <c r="AR253" s="2" t="n">
        <v>26965.9511092257</v>
      </c>
      <c r="AS253" s="2" t="n">
        <v>21734.0398588552</v>
      </c>
    </row>
    <row r="254">
      <c r="A254" s="2" t="s">
        <v>1766</v>
      </c>
      <c r="B254" s="2" t="n">
        <v>205.064365713599</v>
      </c>
      <c r="C254" s="2" t="n">
        <v>1.31256666666667</v>
      </c>
      <c r="D254" s="2" t="s">
        <v>46</v>
      </c>
      <c r="E254" s="2" t="s">
        <v>1767</v>
      </c>
      <c r="F254" s="2" t="n">
        <v>53875</v>
      </c>
      <c r="G254" s="5" t="str">
        <f>HYPERLINK("http://funmeta.oebiotech.com/network/53875", "http://funmeta.oebiotech.com/network/53875")</f>
      </c>
      <c r="H254" s="2" t="s">
        <v>1768</v>
      </c>
      <c r="I254" s="2"/>
      <c r="J254" s="2"/>
      <c r="K254" s="2"/>
      <c r="L254" s="2"/>
      <c r="M254" s="2"/>
      <c r="N254" s="2"/>
      <c r="O254" s="2" t="n">
        <v>96757</v>
      </c>
      <c r="P254" s="2"/>
      <c r="Q254" s="2" t="s">
        <v>1769</v>
      </c>
      <c r="R254" s="2" t="s">
        <v>1770</v>
      </c>
      <c r="S254" s="2" t="s">
        <v>110</v>
      </c>
      <c r="T254" s="2" t="s">
        <v>111</v>
      </c>
      <c r="U254" s="2" t="s">
        <v>112</v>
      </c>
      <c r="V254" s="2" t="s">
        <v>92</v>
      </c>
      <c r="W254" s="2" t="n">
        <v>59.9</v>
      </c>
      <c r="X254" s="2" t="n">
        <v>93.2</v>
      </c>
      <c r="Y254" s="2" t="s">
        <v>290</v>
      </c>
      <c r="Z254" s="2" t="s">
        <v>1771</v>
      </c>
      <c r="AA254" s="2" t="n">
        <v>-4.22750053801313</v>
      </c>
      <c r="AB254" s="2" t="n">
        <v>1.18359822696608</v>
      </c>
      <c r="AC254" s="2" t="n">
        <v>133007.268017568</v>
      </c>
      <c r="AD254" s="2" t="n">
        <v>316373.970468147</v>
      </c>
      <c r="AE254" s="3" t="n">
        <v>0.420411539611661</v>
      </c>
      <c r="AF254" s="3" t="n">
        <v>-1.25012582541593</v>
      </c>
      <c r="AG254" s="3" t="s">
        <v>57</v>
      </c>
      <c r="AH254" s="2" t="n">
        <v>0.0158277459955298</v>
      </c>
      <c r="AI254" s="2" t="n">
        <v>0.0493091927346118</v>
      </c>
      <c r="AJ254" s="2" t="n">
        <v>56239.1719668093</v>
      </c>
      <c r="AK254" s="2" t="n">
        <v>223535.294684517</v>
      </c>
      <c r="AL254" s="2" t="n">
        <v>293984.553539798</v>
      </c>
      <c r="AM254" s="2" t="n">
        <v>87899.2329196422</v>
      </c>
      <c r="AN254" s="2" t="n">
        <v>3378.08697707162</v>
      </c>
      <c r="AO254" s="2" t="n">
        <v>272945.594226923</v>
      </c>
      <c r="AP254" s="2" t="n">
        <v>301309.329349078</v>
      </c>
      <c r="AQ254" s="2" t="n">
        <v>325522.795550285</v>
      </c>
      <c r="AR254" s="2" t="n">
        <v>270168.812143874</v>
      </c>
      <c r="AS254" s="2" t="n">
        <v>411923.321070574</v>
      </c>
    </row>
    <row r="255">
      <c r="A255" s="2" t="s">
        <v>1772</v>
      </c>
      <c r="B255" s="2" t="n">
        <v>374.156759052129</v>
      </c>
      <c r="C255" s="2" t="n">
        <v>2.65073333333333</v>
      </c>
      <c r="D255" s="2" t="s">
        <v>46</v>
      </c>
      <c r="E255" s="2" t="s">
        <v>1773</v>
      </c>
      <c r="F255" s="2" t="n">
        <v>265096</v>
      </c>
      <c r="G255" s="5" t="str">
        <f>HYPERLINK("http://funmeta.oebiotech.com/network/265096", "http://funmeta.oebiotech.com/network/265096")</f>
      </c>
      <c r="H255" s="2"/>
      <c r="I255" s="2" t="n">
        <v>22572</v>
      </c>
      <c r="J255" s="2"/>
      <c r="K255" s="2"/>
      <c r="L255" s="2"/>
      <c r="M255" s="2"/>
      <c r="N255" s="2"/>
      <c r="O255" s="2" t="n">
        <v>145454544</v>
      </c>
      <c r="P255" s="2"/>
      <c r="Q255" s="2" t="s">
        <v>1774</v>
      </c>
      <c r="R255" s="2" t="s">
        <v>1775</v>
      </c>
      <c r="S255" s="2" t="s">
        <v>110</v>
      </c>
      <c r="T255" s="2" t="s">
        <v>111</v>
      </c>
      <c r="U255" s="2" t="s">
        <v>112</v>
      </c>
      <c r="V255" s="2" t="s">
        <v>122</v>
      </c>
      <c r="W255" s="2" t="n">
        <v>43.6</v>
      </c>
      <c r="X255" s="2" t="n">
        <v>0</v>
      </c>
      <c r="Y255" s="2" t="s">
        <v>131</v>
      </c>
      <c r="Z255" s="2" t="s">
        <v>1776</v>
      </c>
      <c r="AA255" s="2" t="n">
        <v>-0.392780889757549</v>
      </c>
      <c r="AB255" s="2" t="n">
        <v>1.17609817103448</v>
      </c>
      <c r="AC255" s="2" t="n">
        <v>36589.7291002127</v>
      </c>
      <c r="AD255" s="2" t="n">
        <v>176828.270887368</v>
      </c>
      <c r="AE255" s="3" t="n">
        <v>0.206922393781245</v>
      </c>
      <c r="AF255" s="3" t="n">
        <v>-2.27283830832219</v>
      </c>
      <c r="AG255" s="3" t="s">
        <v>57</v>
      </c>
      <c r="AH255" s="2" t="n">
        <v>0.00000822615080981722</v>
      </c>
      <c r="AI255" s="2" t="n">
        <v>0.000452685402194643</v>
      </c>
      <c r="AJ255" s="2" t="n">
        <v>27495.0984512249</v>
      </c>
      <c r="AK255" s="2" t="n">
        <v>47206.8250759732</v>
      </c>
      <c r="AL255" s="2" t="n">
        <v>64436.8153724967</v>
      </c>
      <c r="AM255" s="2" t="n">
        <v>37909.7880273482</v>
      </c>
      <c r="AN255" s="2" t="n">
        <v>5900.1185740207</v>
      </c>
      <c r="AO255" s="2" t="n">
        <v>198336.499367429</v>
      </c>
      <c r="AP255" s="2" t="n">
        <v>164588.051918275</v>
      </c>
      <c r="AQ255" s="2" t="n">
        <v>188990.395052123</v>
      </c>
      <c r="AR255" s="2" t="n">
        <v>143797.088864359</v>
      </c>
      <c r="AS255" s="2" t="n">
        <v>188429.319234655</v>
      </c>
    </row>
    <row r="256">
      <c r="A256" s="2" t="s">
        <v>1777</v>
      </c>
      <c r="B256" s="2" t="n">
        <v>200.201007782759</v>
      </c>
      <c r="C256" s="2" t="n">
        <v>10.2959333333333</v>
      </c>
      <c r="D256" s="2" t="s">
        <v>59</v>
      </c>
      <c r="E256" s="2" t="s">
        <v>1778</v>
      </c>
      <c r="F256" s="2" t="n">
        <v>8564</v>
      </c>
      <c r="G256" s="5" t="str">
        <f>HYPERLINK("http://funmeta.oebiotech.com/network/8564", "http://funmeta.oebiotech.com/network/8564")</f>
      </c>
      <c r="H256" s="2" t="s">
        <v>1779</v>
      </c>
      <c r="I256" s="2" t="n">
        <v>36671</v>
      </c>
      <c r="J256" s="2" t="s">
        <v>1780</v>
      </c>
      <c r="K256" s="2" t="n">
        <v>34726</v>
      </c>
      <c r="L256" s="2" t="s">
        <v>1781</v>
      </c>
      <c r="M256" s="2"/>
      <c r="N256" s="2"/>
      <c r="O256" s="2" t="n">
        <v>14256</v>
      </c>
      <c r="P256" s="2"/>
      <c r="Q256" s="2" t="s">
        <v>1782</v>
      </c>
      <c r="R256" s="2" t="s">
        <v>1783</v>
      </c>
      <c r="S256" s="2" t="s">
        <v>66</v>
      </c>
      <c r="T256" s="2" t="s">
        <v>67</v>
      </c>
      <c r="U256" s="2" t="s">
        <v>1784</v>
      </c>
      <c r="V256" s="2" t="s">
        <v>122</v>
      </c>
      <c r="W256" s="2" t="n">
        <v>50.5</v>
      </c>
      <c r="X256" s="2" t="n">
        <v>23.2</v>
      </c>
      <c r="Y256" s="2" t="s">
        <v>248</v>
      </c>
      <c r="Z256" s="2" t="s">
        <v>1785</v>
      </c>
      <c r="AA256" s="2" t="n">
        <v>0.586989944157807</v>
      </c>
      <c r="AB256" s="2" t="n">
        <v>1.17333763285546</v>
      </c>
      <c r="AC256" s="2" t="n">
        <v>261006.805523277</v>
      </c>
      <c r="AD256" s="2" t="n">
        <v>51891.7911376745</v>
      </c>
      <c r="AE256" s="4" t="n">
        <v>5.02982841410886</v>
      </c>
      <c r="AF256" s="4" t="n">
        <v>2.33050918525217</v>
      </c>
      <c r="AG256" s="4" t="s">
        <v>72</v>
      </c>
      <c r="AH256" s="2" t="n">
        <v>0.0439907572925055</v>
      </c>
      <c r="AI256" s="2" t="n">
        <v>0.0970579208336153</v>
      </c>
      <c r="AJ256" s="2" t="n">
        <v>401218.084977233</v>
      </c>
      <c r="AK256" s="2" t="n">
        <v>70060.4658373183</v>
      </c>
      <c r="AL256" s="2" t="n">
        <v>65520.7807862188</v>
      </c>
      <c r="AM256" s="2" t="n">
        <v>264670.917784635</v>
      </c>
      <c r="AN256" s="2" t="n">
        <v>503563.778230982</v>
      </c>
      <c r="AO256" s="2" t="n">
        <v>45940.2768427675</v>
      </c>
      <c r="AP256" s="2" t="n">
        <v>48556.7524216285</v>
      </c>
      <c r="AQ256" s="2" t="n">
        <v>62401.6600458736</v>
      </c>
      <c r="AR256" s="2" t="n">
        <v>54694.6765069891</v>
      </c>
      <c r="AS256" s="2" t="n">
        <v>47865.5898711137</v>
      </c>
    </row>
    <row r="257">
      <c r="A257" s="2" t="s">
        <v>1786</v>
      </c>
      <c r="B257" s="2" t="n">
        <v>366.213809895017</v>
      </c>
      <c r="C257" s="2" t="n">
        <v>3.5558</v>
      </c>
      <c r="D257" s="2" t="s">
        <v>59</v>
      </c>
      <c r="E257" s="2" t="s">
        <v>1787</v>
      </c>
      <c r="F257" s="2" t="n">
        <v>57855</v>
      </c>
      <c r="G257" s="5" t="str">
        <f>HYPERLINK("http://funmeta.oebiotech.com/network/57855", "http://funmeta.oebiotech.com/network/57855")</f>
      </c>
      <c r="H257" s="2" t="s">
        <v>1788</v>
      </c>
      <c r="I257" s="2" t="n">
        <v>89444</v>
      </c>
      <c r="J257" s="2"/>
      <c r="K257" s="2" t="n">
        <v>168435</v>
      </c>
      <c r="L257" s="2"/>
      <c r="M257" s="2"/>
      <c r="N257" s="2"/>
      <c r="O257" s="2" t="n">
        <v>85282611</v>
      </c>
      <c r="P257" s="2" t="s">
        <v>1789</v>
      </c>
      <c r="Q257" s="2" t="s">
        <v>1790</v>
      </c>
      <c r="R257" s="2" t="s">
        <v>1791</v>
      </c>
      <c r="S257" s="2" t="s">
        <v>66</v>
      </c>
      <c r="T257" s="2" t="s">
        <v>211</v>
      </c>
      <c r="U257" s="2" t="s">
        <v>1792</v>
      </c>
      <c r="V257" s="2" t="s">
        <v>54</v>
      </c>
      <c r="W257" s="2" t="n">
        <v>39.5</v>
      </c>
      <c r="X257" s="2" t="n">
        <v>7.63</v>
      </c>
      <c r="Y257" s="2" t="s">
        <v>70</v>
      </c>
      <c r="Z257" s="2" t="s">
        <v>1793</v>
      </c>
      <c r="AA257" s="2" t="n">
        <v>4.49916047727714</v>
      </c>
      <c r="AB257" s="2" t="n">
        <v>1.17313013165443</v>
      </c>
      <c r="AC257" s="2" t="n">
        <v>14769.7566912976</v>
      </c>
      <c r="AD257" s="2" t="n">
        <v>159544.827369406</v>
      </c>
      <c r="AE257" s="3" t="n">
        <v>0.0925743374750729</v>
      </c>
      <c r="AF257" s="3" t="n">
        <v>-3.43324387024789</v>
      </c>
      <c r="AG257" s="3" t="s">
        <v>57</v>
      </c>
      <c r="AH257" s="2" t="n">
        <v>0.000583381251357827</v>
      </c>
      <c r="AI257" s="2" t="n">
        <v>0.00459343243201329</v>
      </c>
      <c r="AJ257" s="2" t="n">
        <v>7801.73579693505</v>
      </c>
      <c r="AK257" s="2" t="n">
        <v>19486.20093349</v>
      </c>
      <c r="AL257" s="2" t="n">
        <v>25783.0184122921</v>
      </c>
      <c r="AM257" s="2" t="n">
        <v>19905.9064166327</v>
      </c>
      <c r="AN257" s="2" t="n">
        <v>871.921897138241</v>
      </c>
      <c r="AO257" s="2" t="n">
        <v>150999.150051829</v>
      </c>
      <c r="AP257" s="2" t="n">
        <v>114731.260509088</v>
      </c>
      <c r="AQ257" s="2" t="n">
        <v>252228.627680514</v>
      </c>
      <c r="AR257" s="2" t="n">
        <v>107690.133494531</v>
      </c>
      <c r="AS257" s="2" t="n">
        <v>172074.965111067</v>
      </c>
    </row>
    <row r="258">
      <c r="A258" s="2" t="s">
        <v>1794</v>
      </c>
      <c r="B258" s="2" t="n">
        <v>521.225427373513</v>
      </c>
      <c r="C258" s="2" t="n">
        <v>4.49188333333333</v>
      </c>
      <c r="D258" s="2" t="s">
        <v>46</v>
      </c>
      <c r="E258" s="2" t="s">
        <v>1795</v>
      </c>
      <c r="F258" s="2" t="n">
        <v>203751</v>
      </c>
      <c r="G258" s="5" t="str">
        <f>HYPERLINK("http://funmeta.oebiotech.com/network/203751", "http://funmeta.oebiotech.com/network/203751")</f>
      </c>
      <c r="H258" s="2" t="s">
        <v>1796</v>
      </c>
      <c r="I258" s="2"/>
      <c r="J258" s="2"/>
      <c r="K258" s="2"/>
      <c r="L258" s="2"/>
      <c r="M258" s="2"/>
      <c r="N258" s="2"/>
      <c r="O258" s="2" t="n">
        <v>13923664</v>
      </c>
      <c r="P258" s="2"/>
      <c r="Q258" s="2" t="s">
        <v>1797</v>
      </c>
      <c r="R258" s="2" t="s">
        <v>1798</v>
      </c>
      <c r="S258" s="2" t="s">
        <v>77</v>
      </c>
      <c r="T258" s="2" t="s">
        <v>77</v>
      </c>
      <c r="U258" s="2" t="s">
        <v>77</v>
      </c>
      <c r="V258" s="2" t="s">
        <v>54</v>
      </c>
      <c r="W258" s="2" t="n">
        <v>42</v>
      </c>
      <c r="X258" s="2" t="n">
        <v>22.9</v>
      </c>
      <c r="Y258" s="2" t="s">
        <v>438</v>
      </c>
      <c r="Z258" s="2" t="s">
        <v>1799</v>
      </c>
      <c r="AA258" s="2" t="n">
        <v>1.54139569153911</v>
      </c>
      <c r="AB258" s="2" t="n">
        <v>1.17312403838911</v>
      </c>
      <c r="AC258" s="2" t="n">
        <v>23371.1771734254</v>
      </c>
      <c r="AD258" s="2" t="n">
        <v>165976.896868192</v>
      </c>
      <c r="AE258" s="3" t="n">
        <v>0.140809821212558</v>
      </c>
      <c r="AF258" s="3" t="n">
        <v>-2.82818013221534</v>
      </c>
      <c r="AG258" s="3" t="s">
        <v>57</v>
      </c>
      <c r="AH258" s="2" t="n">
        <v>0.0000609931446265846</v>
      </c>
      <c r="AI258" s="2" t="n">
        <v>0.00108309038639935</v>
      </c>
      <c r="AJ258" s="2" t="n">
        <v>5701.88383223582</v>
      </c>
      <c r="AK258" s="2" t="n">
        <v>39623.1787785639</v>
      </c>
      <c r="AL258" s="2" t="n">
        <v>55262.6866572826</v>
      </c>
      <c r="AM258" s="2" t="n">
        <v>16268.1365976804</v>
      </c>
      <c r="AN258" s="2" t="n">
        <v>0.00000136409140715624</v>
      </c>
      <c r="AO258" s="2" t="n">
        <v>224196.580458103</v>
      </c>
      <c r="AP258" s="2" t="n">
        <v>137104.97140432</v>
      </c>
      <c r="AQ258" s="2" t="n">
        <v>144497.368907309</v>
      </c>
      <c r="AR258" s="2" t="n">
        <v>156086.948963113</v>
      </c>
      <c r="AS258" s="2" t="n">
        <v>167998.614608115</v>
      </c>
    </row>
    <row r="259">
      <c r="A259" s="2" t="s">
        <v>1800</v>
      </c>
      <c r="B259" s="2" t="n">
        <v>316.166620343652</v>
      </c>
      <c r="C259" s="2" t="n">
        <v>4.52976666666667</v>
      </c>
      <c r="D259" s="2" t="s">
        <v>46</v>
      </c>
      <c r="E259" s="2" t="s">
        <v>1801</v>
      </c>
      <c r="F259" s="2" t="n">
        <v>209777</v>
      </c>
      <c r="G259" s="5" t="str">
        <f>HYPERLINK("http://funmeta.oebiotech.com/network/209777", "http://funmeta.oebiotech.com/network/209777")</f>
      </c>
      <c r="H259" s="2" t="s">
        <v>1802</v>
      </c>
      <c r="I259" s="2"/>
      <c r="J259" s="2"/>
      <c r="K259" s="2"/>
      <c r="L259" s="2"/>
      <c r="M259" s="2"/>
      <c r="N259" s="2"/>
      <c r="O259" s="2" t="n">
        <v>14076877</v>
      </c>
      <c r="P259" s="2"/>
      <c r="Q259" s="2" t="s">
        <v>1803</v>
      </c>
      <c r="R259" s="2" t="s">
        <v>1804</v>
      </c>
      <c r="S259" s="2" t="s">
        <v>147</v>
      </c>
      <c r="T259" s="2" t="s">
        <v>148</v>
      </c>
      <c r="U259" s="2" t="s">
        <v>149</v>
      </c>
      <c r="V259" s="2" t="s">
        <v>54</v>
      </c>
      <c r="W259" s="2" t="n">
        <v>42</v>
      </c>
      <c r="X259" s="2" t="n">
        <v>12.6</v>
      </c>
      <c r="Y259" s="2" t="s">
        <v>1585</v>
      </c>
      <c r="Z259" s="2" t="s">
        <v>1805</v>
      </c>
      <c r="AA259" s="2" t="n">
        <v>-0.165335516567889</v>
      </c>
      <c r="AB259" s="2" t="n">
        <v>1.17276481884285</v>
      </c>
      <c r="AC259" s="2" t="n">
        <v>42473.0754311439</v>
      </c>
      <c r="AD259" s="2" t="n">
        <v>185441.646880656</v>
      </c>
      <c r="AE259" s="3" t="n">
        <v>0.229037414979809</v>
      </c>
      <c r="AF259" s="3" t="n">
        <v>-2.12634480225643</v>
      </c>
      <c r="AG259" s="3" t="s">
        <v>57</v>
      </c>
      <c r="AH259" s="2" t="n">
        <v>0.000207171006189688</v>
      </c>
      <c r="AI259" s="2" t="n">
        <v>0.00228629396661313</v>
      </c>
      <c r="AJ259" s="2" t="n">
        <v>14286.1123706387</v>
      </c>
      <c r="AK259" s="2" t="n">
        <v>65647.9692030116</v>
      </c>
      <c r="AL259" s="2" t="n">
        <v>71034.011299777</v>
      </c>
      <c r="AM259" s="2" t="n">
        <v>61217.9212262206</v>
      </c>
      <c r="AN259" s="2" t="n">
        <v>179.363056071759</v>
      </c>
      <c r="AO259" s="2" t="n">
        <v>179736.409723175</v>
      </c>
      <c r="AP259" s="2" t="n">
        <v>172696.329632725</v>
      </c>
      <c r="AQ259" s="2" t="n">
        <v>199995.846602425</v>
      </c>
      <c r="AR259" s="2" t="n">
        <v>136149.746508044</v>
      </c>
      <c r="AS259" s="2" t="n">
        <v>238629.901936911</v>
      </c>
    </row>
    <row r="260">
      <c r="A260" s="2" t="s">
        <v>1806</v>
      </c>
      <c r="B260" s="2" t="n">
        <v>575.198228791345</v>
      </c>
      <c r="C260" s="2" t="n">
        <v>4.3581</v>
      </c>
      <c r="D260" s="2" t="s">
        <v>46</v>
      </c>
      <c r="E260" s="2" t="s">
        <v>1807</v>
      </c>
      <c r="F260" s="2" t="n">
        <v>58881</v>
      </c>
      <c r="G260" s="5" t="str">
        <f>HYPERLINK("http://funmeta.oebiotech.com/network/58881", "http://funmeta.oebiotech.com/network/58881")</f>
      </c>
      <c r="H260" s="2" t="s">
        <v>1808</v>
      </c>
      <c r="I260" s="2"/>
      <c r="J260" s="2"/>
      <c r="K260" s="2"/>
      <c r="L260" s="2" t="s">
        <v>1809</v>
      </c>
      <c r="M260" s="2"/>
      <c r="N260" s="2"/>
      <c r="O260" s="2" t="n">
        <v>73156985</v>
      </c>
      <c r="P260" s="2" t="s">
        <v>1810</v>
      </c>
      <c r="Q260" s="2" t="s">
        <v>1811</v>
      </c>
      <c r="R260" s="2" t="s">
        <v>1812</v>
      </c>
      <c r="S260" s="2" t="s">
        <v>137</v>
      </c>
      <c r="T260" s="2" t="s">
        <v>138</v>
      </c>
      <c r="U260" s="2" t="s">
        <v>675</v>
      </c>
      <c r="V260" s="2" t="s">
        <v>69</v>
      </c>
      <c r="W260" s="2" t="n">
        <v>52.3</v>
      </c>
      <c r="X260" s="2" t="n">
        <v>63.2</v>
      </c>
      <c r="Y260" s="2" t="s">
        <v>438</v>
      </c>
      <c r="Z260" s="2" t="s">
        <v>1813</v>
      </c>
      <c r="AA260" s="2" t="n">
        <v>0.142674931255859</v>
      </c>
      <c r="AB260" s="2" t="n">
        <v>1.17232772503636</v>
      </c>
      <c r="AC260" s="2" t="n">
        <v>50739.1724120599</v>
      </c>
      <c r="AD260" s="2" t="n">
        <v>229073.322256882</v>
      </c>
      <c r="AE260" s="3" t="n">
        <v>0.221497518402257</v>
      </c>
      <c r="AF260" s="3" t="n">
        <v>-2.17463755957801</v>
      </c>
      <c r="AG260" s="3" t="s">
        <v>57</v>
      </c>
      <c r="AH260" s="2" t="n">
        <v>0.0017441429861827</v>
      </c>
      <c r="AI260" s="2" t="n">
        <v>0.00998113076077207</v>
      </c>
      <c r="AJ260" s="2" t="n">
        <v>39281.7447897272</v>
      </c>
      <c r="AK260" s="2" t="n">
        <v>62990.2575017941</v>
      </c>
      <c r="AL260" s="2" t="n">
        <v>100282.03011388</v>
      </c>
      <c r="AM260" s="2" t="n">
        <v>50542.6065289627</v>
      </c>
      <c r="AN260" s="2" t="n">
        <v>599.223125935528</v>
      </c>
      <c r="AO260" s="2" t="n">
        <v>176586.836550812</v>
      </c>
      <c r="AP260" s="2" t="n">
        <v>139389.624380586</v>
      </c>
      <c r="AQ260" s="2" t="n">
        <v>222432.018613436</v>
      </c>
      <c r="AR260" s="2" t="n">
        <v>341099.78917136</v>
      </c>
      <c r="AS260" s="2" t="n">
        <v>265858.342568216</v>
      </c>
    </row>
    <row r="261">
      <c r="A261" s="2" t="s">
        <v>1814</v>
      </c>
      <c r="B261" s="2" t="n">
        <v>332.218124540368</v>
      </c>
      <c r="C261" s="2" t="n">
        <v>4.11326666666667</v>
      </c>
      <c r="D261" s="2" t="s">
        <v>59</v>
      </c>
      <c r="E261" s="2" t="s">
        <v>1815</v>
      </c>
      <c r="F261" s="2" t="n">
        <v>259388</v>
      </c>
      <c r="G261" s="5" t="str">
        <f>HYPERLINK("http://funmeta.oebiotech.com/network/259388", "http://funmeta.oebiotech.com/network/259388")</f>
      </c>
      <c r="H261" s="2"/>
      <c r="I261" s="2" t="n">
        <v>16594</v>
      </c>
      <c r="J261" s="2"/>
      <c r="K261" s="2"/>
      <c r="L261" s="2"/>
      <c r="M261" s="2"/>
      <c r="N261" s="2"/>
      <c r="O261" s="2" t="n">
        <v>101986938</v>
      </c>
      <c r="P261" s="2"/>
      <c r="Q261" s="2" t="s">
        <v>1816</v>
      </c>
      <c r="R261" s="2" t="s">
        <v>1817</v>
      </c>
      <c r="S261" s="2" t="s">
        <v>110</v>
      </c>
      <c r="T261" s="2" t="s">
        <v>111</v>
      </c>
      <c r="U261" s="2" t="s">
        <v>112</v>
      </c>
      <c r="V261" s="2" t="s">
        <v>92</v>
      </c>
      <c r="W261" s="2" t="n">
        <v>51.7</v>
      </c>
      <c r="X261" s="2" t="n">
        <v>56</v>
      </c>
      <c r="Y261" s="2" t="s">
        <v>248</v>
      </c>
      <c r="Z261" s="2" t="s">
        <v>525</v>
      </c>
      <c r="AA261" s="2" t="n">
        <v>0.383641379613848</v>
      </c>
      <c r="AB261" s="2" t="n">
        <v>1.17174856618949</v>
      </c>
      <c r="AC261" s="2" t="n">
        <v>44666.4926934186</v>
      </c>
      <c r="AD261" s="2" t="n">
        <v>190462.376701609</v>
      </c>
      <c r="AE261" s="3" t="n">
        <v>0.234516094290874</v>
      </c>
      <c r="AF261" s="3" t="n">
        <v>-2.09224115996388</v>
      </c>
      <c r="AG261" s="3" t="s">
        <v>57</v>
      </c>
      <c r="AH261" s="2" t="n">
        <v>0.000311129057038583</v>
      </c>
      <c r="AI261" s="2" t="n">
        <v>0.00299378698562577</v>
      </c>
      <c r="AJ261" s="2" t="n">
        <v>9017.62881003323</v>
      </c>
      <c r="AK261" s="2" t="n">
        <v>106512.385080207</v>
      </c>
      <c r="AL261" s="2" t="n">
        <v>88318.798907159</v>
      </c>
      <c r="AM261" s="2" t="n">
        <v>19483.6506683298</v>
      </c>
      <c r="AN261" s="2" t="n">
        <v>0.00000136409140715624</v>
      </c>
      <c r="AO261" s="2" t="n">
        <v>210325.836325748</v>
      </c>
      <c r="AP261" s="2" t="n">
        <v>183079.885767231</v>
      </c>
      <c r="AQ261" s="2" t="n">
        <v>214860.092502066</v>
      </c>
      <c r="AR261" s="2" t="n">
        <v>159401.499089159</v>
      </c>
      <c r="AS261" s="2" t="n">
        <v>184644.569823842</v>
      </c>
    </row>
    <row r="262">
      <c r="A262" s="2" t="s">
        <v>1818</v>
      </c>
      <c r="B262" s="2" t="n">
        <v>482.324267242745</v>
      </c>
      <c r="C262" s="2" t="n">
        <v>11.3195166666667</v>
      </c>
      <c r="D262" s="2" t="s">
        <v>59</v>
      </c>
      <c r="E262" s="2" t="s">
        <v>1819</v>
      </c>
      <c r="F262" s="2" t="n">
        <v>21199</v>
      </c>
      <c r="G262" s="5" t="str">
        <f>HYPERLINK("http://funmeta.oebiotech.com/network/21199", "http://funmeta.oebiotech.com/network/21199")</f>
      </c>
      <c r="H262" s="2" t="s">
        <v>1820</v>
      </c>
      <c r="I262" s="2" t="n">
        <v>61992</v>
      </c>
      <c r="J262" s="2" t="s">
        <v>1821</v>
      </c>
      <c r="K262" s="2"/>
      <c r="L262" s="2"/>
      <c r="M262" s="2"/>
      <c r="N262" s="2"/>
      <c r="O262" s="2" t="n">
        <v>53480667</v>
      </c>
      <c r="P262" s="2" t="s">
        <v>1822</v>
      </c>
      <c r="Q262" s="2" t="s">
        <v>1823</v>
      </c>
      <c r="R262" s="2" t="s">
        <v>1824</v>
      </c>
      <c r="S262" s="2" t="s">
        <v>66</v>
      </c>
      <c r="T262" s="2" t="s">
        <v>129</v>
      </c>
      <c r="U262" s="2" t="s">
        <v>1477</v>
      </c>
      <c r="V262" s="2" t="s">
        <v>92</v>
      </c>
      <c r="W262" s="2" t="n">
        <v>66.9</v>
      </c>
      <c r="X262" s="2" t="n">
        <v>79.6</v>
      </c>
      <c r="Y262" s="2" t="s">
        <v>248</v>
      </c>
      <c r="Z262" s="2" t="s">
        <v>1825</v>
      </c>
      <c r="AA262" s="2" t="n">
        <v>0.31434525499834</v>
      </c>
      <c r="AB262" s="2" t="n">
        <v>1.16951489052452</v>
      </c>
      <c r="AC262" s="2" t="n">
        <v>192738.298213259</v>
      </c>
      <c r="AD262" s="2" t="n">
        <v>7401.03050354061</v>
      </c>
      <c r="AE262" s="4" t="n">
        <v>26.0420894253921</v>
      </c>
      <c r="AF262" s="4" t="n">
        <v>4.70277329925579</v>
      </c>
      <c r="AG262" s="4" t="s">
        <v>72</v>
      </c>
      <c r="AH262" s="2" t="n">
        <v>0.0299145815146451</v>
      </c>
      <c r="AI262" s="2" t="n">
        <v>0.0757816300455164</v>
      </c>
      <c r="AJ262" s="2" t="n">
        <v>362819.885052273</v>
      </c>
      <c r="AK262" s="2" t="n">
        <v>60531.7449192308</v>
      </c>
      <c r="AL262" s="2" t="n">
        <v>56826.2705906623</v>
      </c>
      <c r="AM262" s="2" t="n">
        <v>121171.880125051</v>
      </c>
      <c r="AN262" s="2" t="n">
        <v>362341.710379079</v>
      </c>
      <c r="AO262" s="2" t="n">
        <v>7875.77471791162</v>
      </c>
      <c r="AP262" s="2" t="n">
        <v>8336.56858521467</v>
      </c>
      <c r="AQ262" s="2" t="n">
        <v>16120.1222867792</v>
      </c>
      <c r="AR262" s="2" t="n">
        <v>3412.64986126374</v>
      </c>
      <c r="AS262" s="2" t="n">
        <v>1260.03706653381</v>
      </c>
    </row>
    <row r="263">
      <c r="A263" s="2" t="s">
        <v>1826</v>
      </c>
      <c r="B263" s="2" t="n">
        <v>334.140080033353</v>
      </c>
      <c r="C263" s="2" t="n">
        <v>4.07666666666667</v>
      </c>
      <c r="D263" s="2" t="s">
        <v>59</v>
      </c>
      <c r="E263" s="2" t="s">
        <v>1827</v>
      </c>
      <c r="F263" s="2" t="n">
        <v>53862</v>
      </c>
      <c r="G263" s="5" t="str">
        <f>HYPERLINK("http://funmeta.oebiotech.com/network/53862", "http://funmeta.oebiotech.com/network/53862")</f>
      </c>
      <c r="H263" s="2" t="s">
        <v>1828</v>
      </c>
      <c r="I263" s="2"/>
      <c r="J263" s="2"/>
      <c r="K263" s="2" t="n">
        <v>73512</v>
      </c>
      <c r="L263" s="2"/>
      <c r="M263" s="2"/>
      <c r="N263" s="2"/>
      <c r="O263" s="2" t="n">
        <v>100094</v>
      </c>
      <c r="P263" s="2" t="s">
        <v>1829</v>
      </c>
      <c r="Q263" s="2" t="s">
        <v>1830</v>
      </c>
      <c r="R263" s="2" t="s">
        <v>1831</v>
      </c>
      <c r="S263" s="2" t="s">
        <v>110</v>
      </c>
      <c r="T263" s="2" t="s">
        <v>111</v>
      </c>
      <c r="U263" s="2" t="s">
        <v>112</v>
      </c>
      <c r="V263" s="2" t="s">
        <v>92</v>
      </c>
      <c r="W263" s="2" t="n">
        <v>67.8</v>
      </c>
      <c r="X263" s="2" t="n">
        <v>88.8</v>
      </c>
      <c r="Y263" s="2" t="s">
        <v>304</v>
      </c>
      <c r="Z263" s="2" t="s">
        <v>1832</v>
      </c>
      <c r="AA263" s="2" t="n">
        <v>0.999241601087143</v>
      </c>
      <c r="AB263" s="2" t="n">
        <v>1.16918238920718</v>
      </c>
      <c r="AC263" s="2" t="n">
        <v>59758.3554536098</v>
      </c>
      <c r="AD263" s="2" t="n">
        <v>206127.754430597</v>
      </c>
      <c r="AE263" s="3" t="n">
        <v>0.28990931191525</v>
      </c>
      <c r="AF263" s="3" t="n">
        <v>-1.78632642123902</v>
      </c>
      <c r="AG263" s="3" t="s">
        <v>57</v>
      </c>
      <c r="AH263" s="2" t="n">
        <v>0.000202213924971598</v>
      </c>
      <c r="AI263" s="2" t="n">
        <v>0.00225286502780084</v>
      </c>
      <c r="AJ263" s="2" t="n">
        <v>41326.6872558073</v>
      </c>
      <c r="AK263" s="2" t="n">
        <v>107629.389632035</v>
      </c>
      <c r="AL263" s="2" t="n">
        <v>93957.2315268097</v>
      </c>
      <c r="AM263" s="2" t="n">
        <v>49869.1605679584</v>
      </c>
      <c r="AN263" s="2" t="n">
        <v>6009.30828543855</v>
      </c>
      <c r="AO263" s="2" t="n">
        <v>200609.799280745</v>
      </c>
      <c r="AP263" s="2" t="n">
        <v>184612.135931327</v>
      </c>
      <c r="AQ263" s="2" t="n">
        <v>240114.741812361</v>
      </c>
      <c r="AR263" s="2" t="n">
        <v>171845.457443791</v>
      </c>
      <c r="AS263" s="2" t="n">
        <v>233456.637684759</v>
      </c>
    </row>
    <row r="264">
      <c r="A264" s="2" t="s">
        <v>1833</v>
      </c>
      <c r="B264" s="2" t="n">
        <v>327.115180452155</v>
      </c>
      <c r="C264" s="2" t="n">
        <v>4.24455</v>
      </c>
      <c r="D264" s="2" t="s">
        <v>46</v>
      </c>
      <c r="E264" s="2" t="s">
        <v>1834</v>
      </c>
      <c r="F264" s="2" t="n">
        <v>200121</v>
      </c>
      <c r="G264" s="5" t="str">
        <f>HYPERLINK("http://funmeta.oebiotech.com/network/200121", "http://funmeta.oebiotech.com/network/200121")</f>
      </c>
      <c r="H264" s="2" t="s">
        <v>1835</v>
      </c>
      <c r="I264" s="2"/>
      <c r="J264" s="2"/>
      <c r="K264" s="2"/>
      <c r="L264" s="2"/>
      <c r="M264" s="2"/>
      <c r="N264" s="2"/>
      <c r="O264" s="2" t="n">
        <v>173608</v>
      </c>
      <c r="P264" s="2"/>
      <c r="Q264" s="2" t="s">
        <v>1836</v>
      </c>
      <c r="R264" s="2" t="s">
        <v>1837</v>
      </c>
      <c r="S264" s="2" t="s">
        <v>77</v>
      </c>
      <c r="T264" s="2" t="s">
        <v>77</v>
      </c>
      <c r="U264" s="2" t="s">
        <v>77</v>
      </c>
      <c r="V264" s="2" t="s">
        <v>54</v>
      </c>
      <c r="W264" s="2" t="n">
        <v>40.2</v>
      </c>
      <c r="X264" s="2" t="n">
        <v>34.6</v>
      </c>
      <c r="Y264" s="2" t="s">
        <v>438</v>
      </c>
      <c r="Z264" s="2" t="s">
        <v>1838</v>
      </c>
      <c r="AA264" s="2" t="n">
        <v>-1.59107402143028</v>
      </c>
      <c r="AB264" s="2" t="n">
        <v>1.16906188452668</v>
      </c>
      <c r="AC264" s="2" t="n">
        <v>206212.538112434</v>
      </c>
      <c r="AD264" s="2" t="n">
        <v>49390.3489482169</v>
      </c>
      <c r="AE264" s="4" t="n">
        <v>4.1751585583782</v>
      </c>
      <c r="AF264" s="4" t="n">
        <v>2.06183098729741</v>
      </c>
      <c r="AG264" s="4" t="s">
        <v>72</v>
      </c>
      <c r="AH264" s="2" t="n">
        <v>0.0244654263682263</v>
      </c>
      <c r="AI264" s="2" t="n">
        <v>0.0662205073985248</v>
      </c>
      <c r="AJ264" s="2" t="n">
        <v>373711.524183823</v>
      </c>
      <c r="AK264" s="2" t="n">
        <v>105927.154677611</v>
      </c>
      <c r="AL264" s="2" t="n">
        <v>144792.894799557</v>
      </c>
      <c r="AM264" s="2" t="n">
        <v>298267.697723835</v>
      </c>
      <c r="AN264" s="2" t="n">
        <v>108363.419177342</v>
      </c>
      <c r="AO264" s="2" t="n">
        <v>27213.9507249277</v>
      </c>
      <c r="AP264" s="2" t="n">
        <v>101669.484555047</v>
      </c>
      <c r="AQ264" s="2" t="n">
        <v>16016.3072920407</v>
      </c>
      <c r="AR264" s="2" t="n">
        <v>46908.0938052917</v>
      </c>
      <c r="AS264" s="2" t="n">
        <v>55143.9083637772</v>
      </c>
    </row>
    <row r="265">
      <c r="A265" s="2" t="s">
        <v>1839</v>
      </c>
      <c r="B265" s="2" t="n">
        <v>158.977194624644</v>
      </c>
      <c r="C265" s="2" t="n">
        <v>0.5863</v>
      </c>
      <c r="D265" s="2" t="s">
        <v>46</v>
      </c>
      <c r="E265" s="2" t="s">
        <v>1840</v>
      </c>
      <c r="F265" s="2" t="n">
        <v>55767</v>
      </c>
      <c r="G265" s="5" t="str">
        <f>HYPERLINK("http://funmeta.oebiotech.com/network/55767", "http://funmeta.oebiotech.com/network/55767")</f>
      </c>
      <c r="H265" s="2" t="s">
        <v>1841</v>
      </c>
      <c r="I265" s="2" t="n">
        <v>64723</v>
      </c>
      <c r="J265" s="2"/>
      <c r="K265" s="2" t="n">
        <v>78492</v>
      </c>
      <c r="L265" s="2"/>
      <c r="M265" s="2"/>
      <c r="N265" s="2"/>
      <c r="O265" s="2" t="n">
        <v>16315</v>
      </c>
      <c r="P265" s="2" t="s">
        <v>1842</v>
      </c>
      <c r="Q265" s="2" t="s">
        <v>1843</v>
      </c>
      <c r="R265" s="2" t="s">
        <v>1844</v>
      </c>
      <c r="S265" s="2" t="s">
        <v>1328</v>
      </c>
      <c r="T265" s="2" t="s">
        <v>1845</v>
      </c>
      <c r="U265" s="2" t="s">
        <v>77</v>
      </c>
      <c r="V265" s="2" t="s">
        <v>54</v>
      </c>
      <c r="W265" s="2" t="n">
        <v>38.3</v>
      </c>
      <c r="X265" s="2" t="n">
        <v>0</v>
      </c>
      <c r="Y265" s="2" t="s">
        <v>438</v>
      </c>
      <c r="Z265" s="2" t="s">
        <v>1846</v>
      </c>
      <c r="AA265" s="2" t="n">
        <v>3.21596488564799</v>
      </c>
      <c r="AB265" s="2" t="n">
        <v>1.16781455118519</v>
      </c>
      <c r="AC265" s="2" t="n">
        <v>299600.626129987</v>
      </c>
      <c r="AD265" s="2" t="n">
        <v>123533.598156207</v>
      </c>
      <c r="AE265" s="4" t="n">
        <v>2.42525621046952</v>
      </c>
      <c r="AF265" s="4" t="n">
        <v>1.27813716546413</v>
      </c>
      <c r="AG265" s="4" t="s">
        <v>72</v>
      </c>
      <c r="AH265" s="2" t="n">
        <v>0.0182125721105796</v>
      </c>
      <c r="AI265" s="2" t="n">
        <v>0.0542835945714032</v>
      </c>
      <c r="AJ265" s="2" t="n">
        <v>418480.959005204</v>
      </c>
      <c r="AK265" s="2" t="n">
        <v>149249.48986569</v>
      </c>
      <c r="AL265" s="2" t="n">
        <v>175257.39545496</v>
      </c>
      <c r="AM265" s="2" t="n">
        <v>429394.834211134</v>
      </c>
      <c r="AN265" s="2" t="n">
        <v>325620.452112948</v>
      </c>
      <c r="AO265" s="2" t="n">
        <v>118855.956304723</v>
      </c>
      <c r="AP265" s="2" t="n">
        <v>108262.039931452</v>
      </c>
      <c r="AQ265" s="2" t="n">
        <v>149868.217307546</v>
      </c>
      <c r="AR265" s="2" t="n">
        <v>129957.621594406</v>
      </c>
      <c r="AS265" s="2" t="n">
        <v>110724.155642908</v>
      </c>
    </row>
    <row r="266">
      <c r="A266" s="2" t="s">
        <v>1847</v>
      </c>
      <c r="B266" s="2" t="n">
        <v>375.187862170706</v>
      </c>
      <c r="C266" s="2" t="n">
        <v>3.51968333333333</v>
      </c>
      <c r="D266" s="2" t="s">
        <v>59</v>
      </c>
      <c r="E266" s="2" t="s">
        <v>1848</v>
      </c>
      <c r="F266" s="2" t="n">
        <v>265270</v>
      </c>
      <c r="G266" s="5" t="str">
        <f>HYPERLINK("http://funmeta.oebiotech.com/network/265270", "http://funmeta.oebiotech.com/network/265270")</f>
      </c>
      <c r="H266" s="2"/>
      <c r="I266" s="2" t="n">
        <v>22756</v>
      </c>
      <c r="J266" s="2"/>
      <c r="K266" s="2"/>
      <c r="L266" s="2"/>
      <c r="M266" s="2"/>
      <c r="N266" s="2"/>
      <c r="O266" s="2" t="n">
        <v>145455007</v>
      </c>
      <c r="P266" s="2"/>
      <c r="Q266" s="2" t="s">
        <v>1849</v>
      </c>
      <c r="R266" s="2" t="s">
        <v>1850</v>
      </c>
      <c r="S266" s="2" t="s">
        <v>77</v>
      </c>
      <c r="T266" s="2" t="s">
        <v>77</v>
      </c>
      <c r="U266" s="2" t="s">
        <v>77</v>
      </c>
      <c r="V266" s="2" t="s">
        <v>92</v>
      </c>
      <c r="W266" s="2" t="n">
        <v>53.3</v>
      </c>
      <c r="X266" s="2" t="n">
        <v>64.2</v>
      </c>
      <c r="Y266" s="2" t="s">
        <v>248</v>
      </c>
      <c r="Z266" s="2" t="s">
        <v>1851</v>
      </c>
      <c r="AA266" s="2" t="n">
        <v>1.16668072006291</v>
      </c>
      <c r="AB266" s="2" t="n">
        <v>1.16636880228761</v>
      </c>
      <c r="AC266" s="2" t="n">
        <v>221661.794683319</v>
      </c>
      <c r="AD266" s="2" t="n">
        <v>417392.320397237</v>
      </c>
      <c r="AE266" s="3" t="n">
        <v>0.531063423669035</v>
      </c>
      <c r="AF266" s="3" t="n">
        <v>-0.913043925856621</v>
      </c>
      <c r="AG266" s="3" t="s">
        <v>57</v>
      </c>
      <c r="AH266" s="2" t="n">
        <v>0.0311597639364108</v>
      </c>
      <c r="AI266" s="2" t="n">
        <v>0.0776268792964969</v>
      </c>
      <c r="AJ266" s="2" t="n">
        <v>130860.417158576</v>
      </c>
      <c r="AK266" s="2" t="n">
        <v>351261.481814933</v>
      </c>
      <c r="AL266" s="2" t="n">
        <v>390730.247550284</v>
      </c>
      <c r="AM266" s="2" t="n">
        <v>219434.856705006</v>
      </c>
      <c r="AN266" s="2" t="n">
        <v>16021.9701877975</v>
      </c>
      <c r="AO266" s="2" t="n">
        <v>517676.479187531</v>
      </c>
      <c r="AP266" s="2" t="n">
        <v>365471.201298892</v>
      </c>
      <c r="AQ266" s="2" t="n">
        <v>410709.983144071</v>
      </c>
      <c r="AR266" s="2" t="n">
        <v>434933.552477708</v>
      </c>
      <c r="AS266" s="2" t="n">
        <v>358170.385877983</v>
      </c>
    </row>
    <row r="267">
      <c r="A267" s="2" t="s">
        <v>1852</v>
      </c>
      <c r="B267" s="2" t="n">
        <v>362.125454943358</v>
      </c>
      <c r="C267" s="2" t="n">
        <v>5.86186666666667</v>
      </c>
      <c r="D267" s="2" t="s">
        <v>46</v>
      </c>
      <c r="E267" s="2" t="s">
        <v>1853</v>
      </c>
      <c r="F267" s="2" t="n">
        <v>55160</v>
      </c>
      <c r="G267" s="5" t="str">
        <f>HYPERLINK("http://funmeta.oebiotech.com/network/55160", "http://funmeta.oebiotech.com/network/55160")</f>
      </c>
      <c r="H267" s="2" t="s">
        <v>1854</v>
      </c>
      <c r="I267" s="2" t="n">
        <v>68169</v>
      </c>
      <c r="J267" s="2"/>
      <c r="K267" s="2" t="n">
        <v>564921</v>
      </c>
      <c r="L267" s="2" t="s">
        <v>1855</v>
      </c>
      <c r="M267" s="2"/>
      <c r="N267" s="2"/>
      <c r="O267" s="2" t="n">
        <v>637858</v>
      </c>
      <c r="P267" s="2" t="s">
        <v>1856</v>
      </c>
      <c r="Q267" s="2" t="s">
        <v>1857</v>
      </c>
      <c r="R267" s="2" t="s">
        <v>1858</v>
      </c>
      <c r="S267" s="2" t="s">
        <v>158</v>
      </c>
      <c r="T267" s="2" t="s">
        <v>620</v>
      </c>
      <c r="U267" s="2" t="s">
        <v>77</v>
      </c>
      <c r="V267" s="2" t="s">
        <v>54</v>
      </c>
      <c r="W267" s="2" t="n">
        <v>39.2</v>
      </c>
      <c r="X267" s="2" t="n">
        <v>4.84</v>
      </c>
      <c r="Y267" s="2" t="s">
        <v>131</v>
      </c>
      <c r="Z267" s="2" t="s">
        <v>1859</v>
      </c>
      <c r="AA267" s="2" t="n">
        <v>2.93057170494925</v>
      </c>
      <c r="AB267" s="2" t="n">
        <v>1.16469342053962</v>
      </c>
      <c r="AC267" s="2" t="n">
        <v>29007.7214104741</v>
      </c>
      <c r="AD267" s="2" t="n">
        <v>176905.31577137</v>
      </c>
      <c r="AE267" s="3" t="n">
        <v>0.163973147352809</v>
      </c>
      <c r="AF267" s="3" t="n">
        <v>-2.60846852000045</v>
      </c>
      <c r="AG267" s="3" t="s">
        <v>57</v>
      </c>
      <c r="AH267" s="2" t="n">
        <v>0.000437282951551866</v>
      </c>
      <c r="AI267" s="2" t="n">
        <v>0.00379121005527494</v>
      </c>
      <c r="AJ267" s="2" t="n">
        <v>46992.8267167463</v>
      </c>
      <c r="AK267" s="2" t="n">
        <v>6406.05510928453</v>
      </c>
      <c r="AL267" s="2" t="n">
        <v>44675.6657000052</v>
      </c>
      <c r="AM267" s="2" t="n">
        <v>45456.8571781068</v>
      </c>
      <c r="AN267" s="2" t="n">
        <v>1507.20234822752</v>
      </c>
      <c r="AO267" s="2" t="n">
        <v>165997.892955914</v>
      </c>
      <c r="AP267" s="2" t="n">
        <v>157335.317961314</v>
      </c>
      <c r="AQ267" s="2" t="n">
        <v>264224.009012379</v>
      </c>
      <c r="AR267" s="2" t="n">
        <v>121464.494872152</v>
      </c>
      <c r="AS267" s="2" t="n">
        <v>175504.864055089</v>
      </c>
    </row>
    <row r="268">
      <c r="A268" s="2" t="s">
        <v>1860</v>
      </c>
      <c r="B268" s="2" t="n">
        <v>353.233317919819</v>
      </c>
      <c r="C268" s="2" t="n">
        <v>8.17536666666667</v>
      </c>
      <c r="D268" s="2" t="s">
        <v>46</v>
      </c>
      <c r="E268" s="2" t="s">
        <v>1861</v>
      </c>
      <c r="F268" s="2" t="n">
        <v>2621</v>
      </c>
      <c r="G268" s="5" t="str">
        <f>HYPERLINK("http://funmeta.oebiotech.com/network/2621", "http://funmeta.oebiotech.com/network/2621")</f>
      </c>
      <c r="H268" s="2" t="s">
        <v>1862</v>
      </c>
      <c r="I268" s="2" t="n">
        <v>87402</v>
      </c>
      <c r="J268" s="2" t="s">
        <v>1863</v>
      </c>
      <c r="K268" s="2"/>
      <c r="L268" s="2"/>
      <c r="M268" s="2"/>
      <c r="N268" s="2"/>
      <c r="O268" s="2" t="n">
        <v>3085134</v>
      </c>
      <c r="P268" s="2" t="s">
        <v>1864</v>
      </c>
      <c r="Q268" s="2" t="s">
        <v>1865</v>
      </c>
      <c r="R268" s="2" t="s">
        <v>1866</v>
      </c>
      <c r="S268" s="2" t="s">
        <v>66</v>
      </c>
      <c r="T268" s="2" t="s">
        <v>67</v>
      </c>
      <c r="U268" s="2" t="s">
        <v>68</v>
      </c>
      <c r="V268" s="2" t="s">
        <v>54</v>
      </c>
      <c r="W268" s="2" t="n">
        <v>41.8</v>
      </c>
      <c r="X268" s="2" t="n">
        <v>12.1</v>
      </c>
      <c r="Y268" s="2" t="s">
        <v>131</v>
      </c>
      <c r="Z268" s="2" t="s">
        <v>1867</v>
      </c>
      <c r="AA268" s="2" t="n">
        <v>-0.0967933144899834</v>
      </c>
      <c r="AB268" s="2" t="n">
        <v>1.16338258152041</v>
      </c>
      <c r="AC268" s="2" t="n">
        <v>200301.220050882</v>
      </c>
      <c r="AD268" s="2" t="n">
        <v>40272.9851737077</v>
      </c>
      <c r="AE268" s="4" t="n">
        <v>4.97358760933492</v>
      </c>
      <c r="AF268" s="4" t="n">
        <v>2.3142868898161</v>
      </c>
      <c r="AG268" s="4" t="s">
        <v>72</v>
      </c>
      <c r="AH268" s="2" t="n">
        <v>0.00132455126500618</v>
      </c>
      <c r="AI268" s="2" t="n">
        <v>0.0082310396743756</v>
      </c>
      <c r="AJ268" s="2" t="n">
        <v>225856.555403674</v>
      </c>
      <c r="AK268" s="2" t="n">
        <v>151351.070064113</v>
      </c>
      <c r="AL268" s="2" t="n">
        <v>152015.866062044</v>
      </c>
      <c r="AM268" s="2" t="n">
        <v>159638.988943275</v>
      </c>
      <c r="AN268" s="2" t="n">
        <v>312643.619781302</v>
      </c>
      <c r="AO268" s="2" t="n">
        <v>60349.1317881264</v>
      </c>
      <c r="AP268" s="2" t="n">
        <v>59015.4380809584</v>
      </c>
      <c r="AQ268" s="2" t="n">
        <v>11508.5827150168</v>
      </c>
      <c r="AR268" s="2" t="n">
        <v>54944.7300474101</v>
      </c>
      <c r="AS268" s="2" t="n">
        <v>15547.0432370269</v>
      </c>
    </row>
    <row r="269">
      <c r="A269" s="2" t="s">
        <v>1868</v>
      </c>
      <c r="B269" s="2" t="n">
        <v>471.251447734831</v>
      </c>
      <c r="C269" s="2" t="n">
        <v>7.9931</v>
      </c>
      <c r="D269" s="2" t="s">
        <v>46</v>
      </c>
      <c r="E269" s="2" t="s">
        <v>1869</v>
      </c>
      <c r="F269" s="2" t="n">
        <v>26071</v>
      </c>
      <c r="G269" s="5" t="str">
        <f>HYPERLINK("http://funmeta.oebiotech.com/network/26071", "http://funmeta.oebiotech.com/network/26071")</f>
      </c>
      <c r="H269" s="2"/>
      <c r="I269" s="2"/>
      <c r="J269" s="2" t="s">
        <v>1870</v>
      </c>
      <c r="K269" s="2"/>
      <c r="L269" s="2"/>
      <c r="M269" s="2"/>
      <c r="N269" s="2"/>
      <c r="O269" s="2" t="n">
        <v>5283535</v>
      </c>
      <c r="P269" s="2"/>
      <c r="Q269" s="2" t="s">
        <v>1871</v>
      </c>
      <c r="R269" s="2" t="s">
        <v>1872</v>
      </c>
      <c r="S269" s="2" t="s">
        <v>66</v>
      </c>
      <c r="T269" s="2" t="s">
        <v>129</v>
      </c>
      <c r="U269" s="2" t="s">
        <v>775</v>
      </c>
      <c r="V269" s="2" t="s">
        <v>54</v>
      </c>
      <c r="W269" s="2" t="n">
        <v>39.3</v>
      </c>
      <c r="X269" s="2" t="n">
        <v>1.56</v>
      </c>
      <c r="Y269" s="2" t="s">
        <v>290</v>
      </c>
      <c r="Z269" s="2" t="s">
        <v>1873</v>
      </c>
      <c r="AA269" s="2" t="n">
        <v>-0.563493686468707</v>
      </c>
      <c r="AB269" s="2" t="n">
        <v>1.16245092650123</v>
      </c>
      <c r="AC269" s="2" t="n">
        <v>23885.1635867811</v>
      </c>
      <c r="AD269" s="2" t="n">
        <v>237434.02773405</v>
      </c>
      <c r="AE269" s="3" t="n">
        <v>0.100597053483568</v>
      </c>
      <c r="AF269" s="3" t="n">
        <v>-3.31334004607493</v>
      </c>
      <c r="AG269" s="3" t="s">
        <v>57</v>
      </c>
      <c r="AH269" s="2" t="n">
        <v>0.00943533553786632</v>
      </c>
      <c r="AI269" s="2" t="n">
        <v>0.034470739558539</v>
      </c>
      <c r="AJ269" s="2" t="n">
        <v>5648.72638117122</v>
      </c>
      <c r="AK269" s="2" t="n">
        <v>46368.4758352069</v>
      </c>
      <c r="AL269" s="2" t="n">
        <v>28362.8655290685</v>
      </c>
      <c r="AM269" s="2" t="n">
        <v>36163.3063389738</v>
      </c>
      <c r="AN269" s="2" t="n">
        <v>2882.44384948513</v>
      </c>
      <c r="AO269" s="2" t="n">
        <v>97886.0925954092</v>
      </c>
      <c r="AP269" s="2" t="n">
        <v>182652.230634654</v>
      </c>
      <c r="AQ269" s="2" t="n">
        <v>152908.270786197</v>
      </c>
      <c r="AR269" s="2" t="n">
        <v>444682.36343188</v>
      </c>
      <c r="AS269" s="2" t="n">
        <v>309041.181222111</v>
      </c>
    </row>
    <row r="270">
      <c r="A270" s="2" t="s">
        <v>1874</v>
      </c>
      <c r="B270" s="2" t="n">
        <v>784.150287724501</v>
      </c>
      <c r="C270" s="2" t="n">
        <v>3.84603333333333</v>
      </c>
      <c r="D270" s="2" t="s">
        <v>46</v>
      </c>
      <c r="E270" s="2" t="s">
        <v>1875</v>
      </c>
      <c r="F270" s="2" t="n">
        <v>47470</v>
      </c>
      <c r="G270" s="5" t="str">
        <f>HYPERLINK("http://funmeta.oebiotech.com/network/47470", "http://funmeta.oebiotech.com/network/47470")</f>
      </c>
      <c r="H270" s="2" t="s">
        <v>1876</v>
      </c>
      <c r="I270" s="2" t="n">
        <v>6106</v>
      </c>
      <c r="J270" s="2"/>
      <c r="K270" s="2" t="n">
        <v>16238</v>
      </c>
      <c r="L270" s="2" t="s">
        <v>1877</v>
      </c>
      <c r="M270" s="2" t="s">
        <v>1878</v>
      </c>
      <c r="N270" s="2" t="s">
        <v>1879</v>
      </c>
      <c r="O270" s="2" t="n">
        <v>643975</v>
      </c>
      <c r="P270" s="2" t="s">
        <v>1880</v>
      </c>
      <c r="Q270" s="2" t="s">
        <v>1881</v>
      </c>
      <c r="R270" s="2" t="s">
        <v>1882</v>
      </c>
      <c r="S270" s="2" t="s">
        <v>360</v>
      </c>
      <c r="T270" s="2" t="s">
        <v>1883</v>
      </c>
      <c r="U270" s="2" t="s">
        <v>77</v>
      </c>
      <c r="V270" s="2" t="s">
        <v>122</v>
      </c>
      <c r="W270" s="2" t="n">
        <v>57.4</v>
      </c>
      <c r="X270" s="2" t="n">
        <v>41.6</v>
      </c>
      <c r="Y270" s="2" t="s">
        <v>290</v>
      </c>
      <c r="Z270" s="2" t="s">
        <v>1884</v>
      </c>
      <c r="AA270" s="2" t="n">
        <v>0.547026285387237</v>
      </c>
      <c r="AB270" s="2" t="n">
        <v>1.15865861650912</v>
      </c>
      <c r="AC270" s="2" t="n">
        <v>261198.993021762</v>
      </c>
      <c r="AD270" s="2" t="n">
        <v>84785.4787304402</v>
      </c>
      <c r="AE270" s="4" t="n">
        <v>3.0807043485854</v>
      </c>
      <c r="AF270" s="4" t="n">
        <v>1.62326023534837</v>
      </c>
      <c r="AG270" s="4" t="s">
        <v>72</v>
      </c>
      <c r="AH270" s="2" t="n">
        <v>0.039966848349825</v>
      </c>
      <c r="AI270" s="2" t="n">
        <v>0.0914508907965539</v>
      </c>
      <c r="AJ270" s="2" t="n">
        <v>448275.673085503</v>
      </c>
      <c r="AK270" s="2" t="n">
        <v>95315.5620979492</v>
      </c>
      <c r="AL270" s="2" t="n">
        <v>90695.2840158382</v>
      </c>
      <c r="AM270" s="2" t="n">
        <v>352443.561828208</v>
      </c>
      <c r="AN270" s="2" t="n">
        <v>319264.884081313</v>
      </c>
      <c r="AO270" s="2" t="n">
        <v>75994.0409836709</v>
      </c>
      <c r="AP270" s="2" t="n">
        <v>98385.3358706248</v>
      </c>
      <c r="AQ270" s="2" t="n">
        <v>78670.4650929759</v>
      </c>
      <c r="AR270" s="2" t="n">
        <v>94173.5823128913</v>
      </c>
      <c r="AS270" s="2" t="n">
        <v>76703.9693920379</v>
      </c>
    </row>
    <row r="271">
      <c r="A271" s="2" t="s">
        <v>1885</v>
      </c>
      <c r="B271" s="2" t="n">
        <v>471.281774299993</v>
      </c>
      <c r="C271" s="2" t="n">
        <v>4.52233333333333</v>
      </c>
      <c r="D271" s="2" t="s">
        <v>59</v>
      </c>
      <c r="E271" s="2" t="s">
        <v>1886</v>
      </c>
      <c r="F271" s="2" t="n">
        <v>18551</v>
      </c>
      <c r="G271" s="5" t="str">
        <f>HYPERLINK("http://funmeta.oebiotech.com/network/18551", "http://funmeta.oebiotech.com/network/18551")</f>
      </c>
      <c r="H271" s="2"/>
      <c r="I271" s="2" t="n">
        <v>39963</v>
      </c>
      <c r="J271" s="2" t="s">
        <v>1887</v>
      </c>
      <c r="K271" s="2" t="n">
        <v>138194</v>
      </c>
      <c r="L271" s="2"/>
      <c r="M271" s="2"/>
      <c r="N271" s="2"/>
      <c r="O271" s="2" t="n">
        <v>10072611</v>
      </c>
      <c r="P271" s="2"/>
      <c r="Q271" s="2" t="s">
        <v>1888</v>
      </c>
      <c r="R271" s="2" t="s">
        <v>1889</v>
      </c>
      <c r="S271" s="2" t="s">
        <v>66</v>
      </c>
      <c r="T271" s="2" t="s">
        <v>129</v>
      </c>
      <c r="U271" s="2" t="s">
        <v>740</v>
      </c>
      <c r="V271" s="2" t="s">
        <v>54</v>
      </c>
      <c r="W271" s="2" t="n">
        <v>39.6</v>
      </c>
      <c r="X271" s="2" t="n">
        <v>5.59</v>
      </c>
      <c r="Y271" s="2" t="s">
        <v>70</v>
      </c>
      <c r="Z271" s="2" t="s">
        <v>1890</v>
      </c>
      <c r="AA271" s="2" t="n">
        <v>-2.65881155334476</v>
      </c>
      <c r="AB271" s="2" t="n">
        <v>1.15757287159702</v>
      </c>
      <c r="AC271" s="2" t="n">
        <v>66276.136309351</v>
      </c>
      <c r="AD271" s="2" t="n">
        <v>207630.932910761</v>
      </c>
      <c r="AE271" s="3" t="n">
        <v>0.31920164967826</v>
      </c>
      <c r="AF271" s="3" t="n">
        <v>-1.64745998726039</v>
      </c>
      <c r="AG271" s="3" t="s">
        <v>57</v>
      </c>
      <c r="AH271" s="2" t="n">
        <v>0.000015961436330322</v>
      </c>
      <c r="AI271" s="2" t="n">
        <v>0.000555465006747042</v>
      </c>
      <c r="AJ271" s="2" t="n">
        <v>59543.5097451779</v>
      </c>
      <c r="AK271" s="2" t="n">
        <v>83307.5746671311</v>
      </c>
      <c r="AL271" s="2" t="n">
        <v>89362.141968487</v>
      </c>
      <c r="AM271" s="2" t="n">
        <v>80921.3040902627</v>
      </c>
      <c r="AN271" s="2" t="n">
        <v>18246.1510756963</v>
      </c>
      <c r="AO271" s="2" t="n">
        <v>231135.459992703</v>
      </c>
      <c r="AP271" s="2" t="n">
        <v>214542.757171361</v>
      </c>
      <c r="AQ271" s="2" t="n">
        <v>212891.664703256</v>
      </c>
      <c r="AR271" s="2" t="n">
        <v>183329.794426233</v>
      </c>
      <c r="AS271" s="2" t="n">
        <v>196254.988260252</v>
      </c>
    </row>
    <row r="272">
      <c r="A272" s="2" t="s">
        <v>1891</v>
      </c>
      <c r="B272" s="2" t="n">
        <v>361.171748392014</v>
      </c>
      <c r="C272" s="2" t="n">
        <v>1.07008333333333</v>
      </c>
      <c r="D272" s="2" t="s">
        <v>59</v>
      </c>
      <c r="E272" s="2" t="s">
        <v>1892</v>
      </c>
      <c r="F272" s="2" t="n">
        <v>265472</v>
      </c>
      <c r="G272" s="5" t="str">
        <f>HYPERLINK("http://funmeta.oebiotech.com/network/265472", "http://funmeta.oebiotech.com/network/265472")</f>
      </c>
      <c r="H272" s="2"/>
      <c r="I272" s="2" t="n">
        <v>22968</v>
      </c>
      <c r="J272" s="2"/>
      <c r="K272" s="2"/>
      <c r="L272" s="2"/>
      <c r="M272" s="2"/>
      <c r="N272" s="2"/>
      <c r="O272" s="2" t="n">
        <v>54381018</v>
      </c>
      <c r="P272" s="2"/>
      <c r="Q272" s="2" t="s">
        <v>1893</v>
      </c>
      <c r="R272" s="2" t="s">
        <v>1894</v>
      </c>
      <c r="S272" s="2" t="s">
        <v>110</v>
      </c>
      <c r="T272" s="2" t="s">
        <v>111</v>
      </c>
      <c r="U272" s="2" t="s">
        <v>112</v>
      </c>
      <c r="V272" s="2" t="s">
        <v>92</v>
      </c>
      <c r="W272" s="2" t="n">
        <v>57.7</v>
      </c>
      <c r="X272" s="2" t="n">
        <v>83.5</v>
      </c>
      <c r="Y272" s="2" t="s">
        <v>248</v>
      </c>
      <c r="Z272" s="2" t="s">
        <v>698</v>
      </c>
      <c r="AA272" s="2" t="n">
        <v>-0.0754260522256647</v>
      </c>
      <c r="AB272" s="2" t="n">
        <v>1.14572213836228</v>
      </c>
      <c r="AC272" s="2" t="n">
        <v>99236.9823367959</v>
      </c>
      <c r="AD272" s="2" t="n">
        <v>249952.904176753</v>
      </c>
      <c r="AE272" s="3" t="n">
        <v>0.397022721794906</v>
      </c>
      <c r="AF272" s="3" t="n">
        <v>-1.33270651904863</v>
      </c>
      <c r="AG272" s="3" t="s">
        <v>57</v>
      </c>
      <c r="AH272" s="2" t="n">
        <v>0.000831280937391631</v>
      </c>
      <c r="AI272" s="2" t="n">
        <v>0.0059551421676222</v>
      </c>
      <c r="AJ272" s="2" t="n">
        <v>77433.0852996648</v>
      </c>
      <c r="AK272" s="2" t="n">
        <v>147146.430161179</v>
      </c>
      <c r="AL272" s="2" t="n">
        <v>160540.217584492</v>
      </c>
      <c r="AM272" s="2" t="n">
        <v>98769.8084474222</v>
      </c>
      <c r="AN272" s="2" t="n">
        <v>12295.3701912217</v>
      </c>
      <c r="AO272" s="2" t="n">
        <v>228998.942362434</v>
      </c>
      <c r="AP272" s="2" t="n">
        <v>251157.133796732</v>
      </c>
      <c r="AQ272" s="2" t="n">
        <v>280406.684241445</v>
      </c>
      <c r="AR272" s="2" t="n">
        <v>218667.425927352</v>
      </c>
      <c r="AS272" s="2" t="n">
        <v>270534.334555804</v>
      </c>
    </row>
    <row r="273">
      <c r="A273" s="2" t="s">
        <v>1895</v>
      </c>
      <c r="B273" s="2" t="n">
        <v>290.171400435948</v>
      </c>
      <c r="C273" s="2" t="n">
        <v>3.69355</v>
      </c>
      <c r="D273" s="2" t="s">
        <v>59</v>
      </c>
      <c r="E273" s="2" t="s">
        <v>1896</v>
      </c>
      <c r="F273" s="2" t="n">
        <v>264728</v>
      </c>
      <c r="G273" s="5" t="str">
        <f>HYPERLINK("http://funmeta.oebiotech.com/network/264728", "http://funmeta.oebiotech.com/network/264728")</f>
      </c>
      <c r="H273" s="2"/>
      <c r="I273" s="2" t="n">
        <v>22193</v>
      </c>
      <c r="J273" s="2"/>
      <c r="K273" s="2"/>
      <c r="L273" s="2"/>
      <c r="M273" s="2"/>
      <c r="N273" s="2"/>
      <c r="O273" s="2" t="n">
        <v>145458065</v>
      </c>
      <c r="P273" s="2"/>
      <c r="Q273" s="2" t="s">
        <v>1897</v>
      </c>
      <c r="R273" s="2" t="s">
        <v>1898</v>
      </c>
      <c r="S273" s="2" t="s">
        <v>110</v>
      </c>
      <c r="T273" s="2" t="s">
        <v>111</v>
      </c>
      <c r="U273" s="2" t="s">
        <v>112</v>
      </c>
      <c r="V273" s="2" t="s">
        <v>92</v>
      </c>
      <c r="W273" s="2" t="n">
        <v>56.1</v>
      </c>
      <c r="X273" s="2" t="n">
        <v>71.5</v>
      </c>
      <c r="Y273" s="2" t="s">
        <v>248</v>
      </c>
      <c r="Z273" s="2" t="s">
        <v>1439</v>
      </c>
      <c r="AA273" s="2" t="n">
        <v>1.22129455306047</v>
      </c>
      <c r="AB273" s="2" t="n">
        <v>1.14367901478064</v>
      </c>
      <c r="AC273" s="2" t="n">
        <v>30233.5316287299</v>
      </c>
      <c r="AD273" s="2" t="n">
        <v>167836.75269471</v>
      </c>
      <c r="AE273" s="3" t="n">
        <v>0.1801365382928</v>
      </c>
      <c r="AF273" s="3" t="n">
        <v>-2.47283725252525</v>
      </c>
      <c r="AG273" s="3" t="s">
        <v>57</v>
      </c>
      <c r="AH273" s="2" t="n">
        <v>0.0000272704402212004</v>
      </c>
      <c r="AI273" s="2" t="n">
        <v>0.00070239756708682</v>
      </c>
      <c r="AJ273" s="2" t="n">
        <v>13293.4546535259</v>
      </c>
      <c r="AK273" s="2" t="n">
        <v>55520.7157254729</v>
      </c>
      <c r="AL273" s="2" t="n">
        <v>66644.8371008637</v>
      </c>
      <c r="AM273" s="2" t="n">
        <v>14663.5840868048</v>
      </c>
      <c r="AN273" s="2" t="n">
        <v>1045.06657698243</v>
      </c>
      <c r="AO273" s="2" t="n">
        <v>194433.494643836</v>
      </c>
      <c r="AP273" s="2" t="n">
        <v>159858.236228701</v>
      </c>
      <c r="AQ273" s="2" t="n">
        <v>181796.358418675</v>
      </c>
      <c r="AR273" s="2" t="n">
        <v>164825.594899363</v>
      </c>
      <c r="AS273" s="2" t="n">
        <v>138270.079282977</v>
      </c>
    </row>
    <row r="274">
      <c r="A274" s="2" t="s">
        <v>1899</v>
      </c>
      <c r="B274" s="2" t="n">
        <v>320.162392774661</v>
      </c>
      <c r="C274" s="2" t="n">
        <v>4.0214</v>
      </c>
      <c r="D274" s="2" t="s">
        <v>59</v>
      </c>
      <c r="E274" s="2" t="s">
        <v>1900</v>
      </c>
      <c r="F274" s="2" t="n">
        <v>260006</v>
      </c>
      <c r="G274" s="5" t="str">
        <f>HYPERLINK("http://funmeta.oebiotech.com/network/260006", "http://funmeta.oebiotech.com/network/260006")</f>
      </c>
      <c r="H274" s="2"/>
      <c r="I274" s="2" t="n">
        <v>17241</v>
      </c>
      <c r="J274" s="2"/>
      <c r="K274" s="2"/>
      <c r="L274" s="2"/>
      <c r="M274" s="2"/>
      <c r="N274" s="2"/>
      <c r="O274" s="2" t="n">
        <v>145456426</v>
      </c>
      <c r="P274" s="2"/>
      <c r="Q274" s="2" t="s">
        <v>1901</v>
      </c>
      <c r="R274" s="2" t="s">
        <v>1902</v>
      </c>
      <c r="S274" s="2" t="s">
        <v>110</v>
      </c>
      <c r="T274" s="2" t="s">
        <v>111</v>
      </c>
      <c r="U274" s="2" t="s">
        <v>112</v>
      </c>
      <c r="V274" s="2" t="s">
        <v>92</v>
      </c>
      <c r="W274" s="2" t="n">
        <v>54.5</v>
      </c>
      <c r="X274" s="2" t="n">
        <v>65.7</v>
      </c>
      <c r="Y274" s="2" t="s">
        <v>248</v>
      </c>
      <c r="Z274" s="2" t="s">
        <v>1903</v>
      </c>
      <c r="AA274" s="2" t="n">
        <v>-4.57753915429521</v>
      </c>
      <c r="AB274" s="2" t="n">
        <v>1.14233694536349</v>
      </c>
      <c r="AC274" s="2" t="n">
        <v>49191.225450018</v>
      </c>
      <c r="AD274" s="2" t="n">
        <v>179827.353283169</v>
      </c>
      <c r="AE274" s="3" t="n">
        <v>0.273546957967835</v>
      </c>
      <c r="AF274" s="3" t="n">
        <v>-1.87013958284854</v>
      </c>
      <c r="AG274" s="3" t="s">
        <v>57</v>
      </c>
      <c r="AH274" s="2" t="n">
        <v>0.0000916074253994347</v>
      </c>
      <c r="AI274" s="2" t="n">
        <v>0.00135560483040578</v>
      </c>
      <c r="AJ274" s="2" t="n">
        <v>25705.7083643035</v>
      </c>
      <c r="AK274" s="2" t="n">
        <v>72807.7976142367</v>
      </c>
      <c r="AL274" s="2" t="n">
        <v>64856.8882836158</v>
      </c>
      <c r="AM274" s="2" t="n">
        <v>37717.2647444476</v>
      </c>
      <c r="AN274" s="2" t="n">
        <v>44868.4682434864</v>
      </c>
      <c r="AO274" s="2" t="n">
        <v>183235.621538765</v>
      </c>
      <c r="AP274" s="2" t="n">
        <v>160836.016208808</v>
      </c>
      <c r="AQ274" s="2" t="n">
        <v>234474.644775463</v>
      </c>
      <c r="AR274" s="2" t="n">
        <v>138613.22646697</v>
      </c>
      <c r="AS274" s="2" t="n">
        <v>181977.257425839</v>
      </c>
    </row>
    <row r="275">
      <c r="A275" s="2" t="s">
        <v>1904</v>
      </c>
      <c r="B275" s="2" t="n">
        <v>301.151585874329</v>
      </c>
      <c r="C275" s="2" t="n">
        <v>1.09676666666667</v>
      </c>
      <c r="D275" s="2" t="s">
        <v>46</v>
      </c>
      <c r="E275" s="2" t="s">
        <v>1905</v>
      </c>
      <c r="F275" s="2" t="n">
        <v>261389</v>
      </c>
      <c r="G275" s="5" t="str">
        <f>HYPERLINK("http://funmeta.oebiotech.com/network/261389", "http://funmeta.oebiotech.com/network/261389")</f>
      </c>
      <c r="H275" s="2"/>
      <c r="I275" s="2" t="n">
        <v>18705</v>
      </c>
      <c r="J275" s="2"/>
      <c r="K275" s="2"/>
      <c r="L275" s="2"/>
      <c r="M275" s="2"/>
      <c r="N275" s="2"/>
      <c r="O275" s="2" t="n">
        <v>124155756</v>
      </c>
      <c r="P275" s="2"/>
      <c r="Q275" s="2" t="s">
        <v>1906</v>
      </c>
      <c r="R275" s="2" t="s">
        <v>1907</v>
      </c>
      <c r="S275" s="2" t="s">
        <v>77</v>
      </c>
      <c r="T275" s="2" t="s">
        <v>77</v>
      </c>
      <c r="U275" s="2" t="s">
        <v>77</v>
      </c>
      <c r="V275" s="2" t="s">
        <v>122</v>
      </c>
      <c r="W275" s="2" t="n">
        <v>42.4</v>
      </c>
      <c r="X275" s="2" t="n">
        <v>0</v>
      </c>
      <c r="Y275" s="2" t="s">
        <v>290</v>
      </c>
      <c r="Z275" s="2" t="s">
        <v>1908</v>
      </c>
      <c r="AA275" s="2" t="n">
        <v>-0.521302361392727</v>
      </c>
      <c r="AB275" s="2" t="n">
        <v>1.13912032481457</v>
      </c>
      <c r="AC275" s="2" t="n">
        <v>19806.9502303518</v>
      </c>
      <c r="AD275" s="2" t="n">
        <v>152204.069058039</v>
      </c>
      <c r="AE275" s="3" t="n">
        <v>0.130134170215903</v>
      </c>
      <c r="AF275" s="3" t="n">
        <v>-2.94192826482004</v>
      </c>
      <c r="AG275" s="3" t="s">
        <v>57</v>
      </c>
      <c r="AH275" s="2" t="n">
        <v>0.00000214485107912059</v>
      </c>
      <c r="AI275" s="2" t="n">
        <v>0.000314220683091166</v>
      </c>
      <c r="AJ275" s="2" t="n">
        <v>4409.087969768</v>
      </c>
      <c r="AK275" s="2" t="n">
        <v>39551.7296581993</v>
      </c>
      <c r="AL275" s="2" t="n">
        <v>43482.4945791441</v>
      </c>
      <c r="AM275" s="2" t="n">
        <v>11008.790527784</v>
      </c>
      <c r="AN275" s="2" t="n">
        <v>582.648416863768</v>
      </c>
      <c r="AO275" s="2" t="n">
        <v>165240.919186553</v>
      </c>
      <c r="AP275" s="2" t="n">
        <v>137008.946241668</v>
      </c>
      <c r="AQ275" s="2" t="n">
        <v>168967.281682773</v>
      </c>
      <c r="AR275" s="2" t="n">
        <v>147341.303631658</v>
      </c>
      <c r="AS275" s="2" t="n">
        <v>142461.894547542</v>
      </c>
    </row>
    <row r="276">
      <c r="A276" s="2" t="s">
        <v>1909</v>
      </c>
      <c r="B276" s="2" t="n">
        <v>359.229001471223</v>
      </c>
      <c r="C276" s="2" t="n">
        <v>4.41008333333333</v>
      </c>
      <c r="D276" s="2" t="s">
        <v>59</v>
      </c>
      <c r="E276" s="2" t="s">
        <v>1910</v>
      </c>
      <c r="F276" s="2" t="n">
        <v>264867</v>
      </c>
      <c r="G276" s="5" t="str">
        <f>HYPERLINK("http://funmeta.oebiotech.com/network/264867", "http://funmeta.oebiotech.com/network/264867")</f>
      </c>
      <c r="H276" s="2"/>
      <c r="I276" s="2" t="n">
        <v>22335</v>
      </c>
      <c r="J276" s="2"/>
      <c r="K276" s="2"/>
      <c r="L276" s="2"/>
      <c r="M276" s="2"/>
      <c r="N276" s="2"/>
      <c r="O276" s="2" t="n">
        <v>145456358</v>
      </c>
      <c r="P276" s="2"/>
      <c r="Q276" s="2" t="s">
        <v>1911</v>
      </c>
      <c r="R276" s="2" t="s">
        <v>1912</v>
      </c>
      <c r="S276" s="2" t="s">
        <v>110</v>
      </c>
      <c r="T276" s="2" t="s">
        <v>111</v>
      </c>
      <c r="U276" s="2" t="s">
        <v>112</v>
      </c>
      <c r="V276" s="2" t="s">
        <v>122</v>
      </c>
      <c r="W276" s="2" t="n">
        <v>50.5</v>
      </c>
      <c r="X276" s="2" t="n">
        <v>41.6</v>
      </c>
      <c r="Y276" s="2" t="s">
        <v>248</v>
      </c>
      <c r="Z276" s="2" t="s">
        <v>1455</v>
      </c>
      <c r="AA276" s="2" t="n">
        <v>0.293003317574899</v>
      </c>
      <c r="AB276" s="2" t="n">
        <v>1.13479084962238</v>
      </c>
      <c r="AC276" s="2" t="n">
        <v>73297.5731654277</v>
      </c>
      <c r="AD276" s="2" t="n">
        <v>213155.591715292</v>
      </c>
      <c r="AE276" s="3" t="n">
        <v>0.343868873322029</v>
      </c>
      <c r="AF276" s="3" t="n">
        <v>-1.54006956447286</v>
      </c>
      <c r="AG276" s="3" t="s">
        <v>57</v>
      </c>
      <c r="AH276" s="2" t="n">
        <v>0.00049316081709783</v>
      </c>
      <c r="AI276" s="2" t="n">
        <v>0.00411669855867989</v>
      </c>
      <c r="AJ276" s="2" t="n">
        <v>44787.2082127129</v>
      </c>
      <c r="AK276" s="2" t="n">
        <v>107603.908232154</v>
      </c>
      <c r="AL276" s="2" t="n">
        <v>135835.385031987</v>
      </c>
      <c r="AM276" s="2" t="n">
        <v>68583.3553200713</v>
      </c>
      <c r="AN276" s="2" t="n">
        <v>9678.00903021354</v>
      </c>
      <c r="AO276" s="2" t="n">
        <v>251603.135790713</v>
      </c>
      <c r="AP276" s="2" t="n">
        <v>190248.690048682</v>
      </c>
      <c r="AQ276" s="2" t="n">
        <v>212127.54778</v>
      </c>
      <c r="AR276" s="2" t="n">
        <v>194374.8068201</v>
      </c>
      <c r="AS276" s="2" t="n">
        <v>217423.778136963</v>
      </c>
    </row>
    <row r="277">
      <c r="A277" s="2" t="s">
        <v>1913</v>
      </c>
      <c r="B277" s="2" t="n">
        <v>387.120703929231</v>
      </c>
      <c r="C277" s="2" t="n">
        <v>7.95555</v>
      </c>
      <c r="D277" s="2" t="s">
        <v>46</v>
      </c>
      <c r="E277" s="2" t="s">
        <v>1914</v>
      </c>
      <c r="F277" s="2" t="n">
        <v>63609</v>
      </c>
      <c r="G277" s="5" t="str">
        <f>HYPERLINK("http://funmeta.oebiotech.com/network/63609", "http://funmeta.oebiotech.com/network/63609")</f>
      </c>
      <c r="H277" s="2" t="s">
        <v>1915</v>
      </c>
      <c r="I277" s="2" t="n">
        <v>94945</v>
      </c>
      <c r="J277" s="2"/>
      <c r="K277" s="2" t="n">
        <v>166519</v>
      </c>
      <c r="L277" s="2"/>
      <c r="M277" s="2"/>
      <c r="N277" s="2"/>
      <c r="O277" s="2" t="n">
        <v>11099949</v>
      </c>
      <c r="P277" s="2"/>
      <c r="Q277" s="2" t="s">
        <v>1916</v>
      </c>
      <c r="R277" s="2" t="s">
        <v>1917</v>
      </c>
      <c r="S277" s="2" t="s">
        <v>51</v>
      </c>
      <c r="T277" s="2" t="s">
        <v>1918</v>
      </c>
      <c r="U277" s="2" t="s">
        <v>1919</v>
      </c>
      <c r="V277" s="2" t="s">
        <v>54</v>
      </c>
      <c r="W277" s="2" t="n">
        <v>37.3</v>
      </c>
      <c r="X277" s="2" t="n">
        <v>0</v>
      </c>
      <c r="Y277" s="2" t="s">
        <v>131</v>
      </c>
      <c r="Z277" s="2" t="s">
        <v>1920</v>
      </c>
      <c r="AA277" s="2" t="n">
        <v>2.71650386338415</v>
      </c>
      <c r="AB277" s="2" t="n">
        <v>1.13320899362087</v>
      </c>
      <c r="AC277" s="2" t="n">
        <v>2106.89171346093</v>
      </c>
      <c r="AD277" s="2" t="n">
        <v>138200.1524456</v>
      </c>
      <c r="AE277" s="3" t="n">
        <v>0.0152452198943143</v>
      </c>
      <c r="AF277" s="3" t="n">
        <v>-6.03549923010277</v>
      </c>
      <c r="AG277" s="3" t="s">
        <v>57</v>
      </c>
      <c r="AH277" s="2" t="n">
        <v>0.000236137841056035</v>
      </c>
      <c r="AI277" s="2" t="n">
        <v>0.00248432270841717</v>
      </c>
      <c r="AJ277" s="2" t="n">
        <v>5890.40210567799</v>
      </c>
      <c r="AK277" s="2" t="n">
        <v>0.00000136409140715624</v>
      </c>
      <c r="AL277" s="2" t="n">
        <v>3595.2201007564</v>
      </c>
      <c r="AM277" s="2" t="n">
        <v>1048.83635814208</v>
      </c>
      <c r="AN277" s="2" t="n">
        <v>0.00000136409140715624</v>
      </c>
      <c r="AO277" s="2" t="n">
        <v>179942.981312842</v>
      </c>
      <c r="AP277" s="2" t="n">
        <v>183215.660716124</v>
      </c>
      <c r="AQ277" s="2" t="n">
        <v>143360.071454179</v>
      </c>
      <c r="AR277" s="2" t="n">
        <v>66493.0494675009</v>
      </c>
      <c r="AS277" s="2" t="n">
        <v>117988.999277355</v>
      </c>
    </row>
    <row r="278">
      <c r="A278" s="2" t="s">
        <v>1921</v>
      </c>
      <c r="B278" s="2" t="n">
        <v>473.225497813584</v>
      </c>
      <c r="C278" s="2" t="n">
        <v>3.73248333333333</v>
      </c>
      <c r="D278" s="2" t="s">
        <v>46</v>
      </c>
      <c r="E278" s="2" t="s">
        <v>1922</v>
      </c>
      <c r="F278" s="2" t="n">
        <v>213096</v>
      </c>
      <c r="G278" s="5" t="str">
        <f>HYPERLINK("http://funmeta.oebiotech.com/network/213096", "http://funmeta.oebiotech.com/network/213096")</f>
      </c>
      <c r="H278" s="2" t="s">
        <v>1923</v>
      </c>
      <c r="I278" s="2"/>
      <c r="J278" s="2"/>
      <c r="K278" s="2"/>
      <c r="L278" s="2"/>
      <c r="M278" s="2"/>
      <c r="N278" s="2"/>
      <c r="O278" s="2" t="n">
        <v>72455102</v>
      </c>
      <c r="P278" s="2"/>
      <c r="Q278" s="2" t="s">
        <v>1924</v>
      </c>
      <c r="R278" s="2" t="s">
        <v>1925</v>
      </c>
      <c r="S278" s="2" t="s">
        <v>51</v>
      </c>
      <c r="T278" s="2" t="s">
        <v>1926</v>
      </c>
      <c r="U278" s="2" t="s">
        <v>77</v>
      </c>
      <c r="V278" s="2" t="s">
        <v>54</v>
      </c>
      <c r="W278" s="2" t="n">
        <v>42.5</v>
      </c>
      <c r="X278" s="2" t="n">
        <v>21.4</v>
      </c>
      <c r="Y278" s="2" t="s">
        <v>438</v>
      </c>
      <c r="Z278" s="2" t="s">
        <v>1927</v>
      </c>
      <c r="AA278" s="2" t="n">
        <v>1.83480205726915</v>
      </c>
      <c r="AB278" s="2" t="n">
        <v>1.13248226026922</v>
      </c>
      <c r="AC278" s="2" t="n">
        <v>38718.3256047514</v>
      </c>
      <c r="AD278" s="2" t="n">
        <v>178165.148930286</v>
      </c>
      <c r="AE278" s="3" t="n">
        <v>0.217317055761009</v>
      </c>
      <c r="AF278" s="3" t="n">
        <v>-2.20212668844819</v>
      </c>
      <c r="AG278" s="3" t="s">
        <v>57</v>
      </c>
      <c r="AH278" s="2" t="n">
        <v>0.0000620973063648603</v>
      </c>
      <c r="AI278" s="2" t="n">
        <v>0.00108949166256911</v>
      </c>
      <c r="AJ278" s="2" t="n">
        <v>10494.2451334366</v>
      </c>
      <c r="AK278" s="2" t="n">
        <v>71804.6166146085</v>
      </c>
      <c r="AL278" s="2" t="n">
        <v>82989.9166478349</v>
      </c>
      <c r="AM278" s="2" t="n">
        <v>28223.3073445768</v>
      </c>
      <c r="AN278" s="2" t="n">
        <v>79.5422832999787</v>
      </c>
      <c r="AO278" s="2" t="n">
        <v>194678.988647054</v>
      </c>
      <c r="AP278" s="2" t="n">
        <v>189869.980238896</v>
      </c>
      <c r="AQ278" s="2" t="n">
        <v>168520.130534022</v>
      </c>
      <c r="AR278" s="2" t="n">
        <v>185832.192694691</v>
      </c>
      <c r="AS278" s="2" t="n">
        <v>151924.452536766</v>
      </c>
    </row>
    <row r="279">
      <c r="A279" s="2" t="s">
        <v>1928</v>
      </c>
      <c r="B279" s="2" t="n">
        <v>649.320193254686</v>
      </c>
      <c r="C279" s="2" t="n">
        <v>7.93711666666667</v>
      </c>
      <c r="D279" s="2" t="s">
        <v>46</v>
      </c>
      <c r="E279" s="2" t="s">
        <v>1929</v>
      </c>
      <c r="F279" s="2" t="n">
        <v>212386</v>
      </c>
      <c r="G279" s="5" t="str">
        <f>HYPERLINK("http://funmeta.oebiotech.com/network/212386", "http://funmeta.oebiotech.com/network/212386")</f>
      </c>
      <c r="H279" s="2" t="s">
        <v>1930</v>
      </c>
      <c r="I279" s="2"/>
      <c r="J279" s="2"/>
      <c r="K279" s="2" t="n">
        <v>93880</v>
      </c>
      <c r="L279" s="2"/>
      <c r="M279" s="2"/>
      <c r="N279" s="2"/>
      <c r="O279" s="2" t="n">
        <v>5428</v>
      </c>
      <c r="P279" s="2"/>
      <c r="Q279" s="2" t="s">
        <v>1931</v>
      </c>
      <c r="R279" s="2" t="s">
        <v>1932</v>
      </c>
      <c r="S279" s="2" t="s">
        <v>110</v>
      </c>
      <c r="T279" s="2" t="s">
        <v>111</v>
      </c>
      <c r="U279" s="2" t="s">
        <v>1933</v>
      </c>
      <c r="V279" s="2" t="s">
        <v>54</v>
      </c>
      <c r="W279" s="2" t="n">
        <v>36.7</v>
      </c>
      <c r="X279" s="2" t="n">
        <v>0</v>
      </c>
      <c r="Y279" s="2" t="s">
        <v>290</v>
      </c>
      <c r="Z279" s="2" t="s">
        <v>1934</v>
      </c>
      <c r="AA279" s="2" t="n">
        <v>-4.23992522417047</v>
      </c>
      <c r="AB279" s="2" t="n">
        <v>1.13171650098022</v>
      </c>
      <c r="AC279" s="2" t="n">
        <v>41.1052031754473</v>
      </c>
      <c r="AD279" s="2" t="n">
        <v>147516.489396247</v>
      </c>
      <c r="AE279" s="3" t="n">
        <v>0.000278648192779545</v>
      </c>
      <c r="AF279" s="3" t="n">
        <v>-11.8092675829482</v>
      </c>
      <c r="AG279" s="3" t="s">
        <v>57</v>
      </c>
      <c r="AH279" s="2" t="n">
        <v>0.0126234313187828</v>
      </c>
      <c r="AI279" s="2" t="n">
        <v>0.042061087693655</v>
      </c>
      <c r="AJ279" s="2" t="n">
        <v>0.00000136409140715624</v>
      </c>
      <c r="AK279" s="2" t="n">
        <v>0.00000136409140715624</v>
      </c>
      <c r="AL279" s="2" t="n">
        <v>205.526010420871</v>
      </c>
      <c r="AM279" s="2" t="n">
        <v>0.00000136409140715624</v>
      </c>
      <c r="AN279" s="2" t="n">
        <v>0.00000136409140715624</v>
      </c>
      <c r="AO279" s="2" t="n">
        <v>146563.49378278</v>
      </c>
      <c r="AP279" s="2" t="n">
        <v>51334.885170436</v>
      </c>
      <c r="AQ279" s="2" t="n">
        <v>247400.632068843</v>
      </c>
      <c r="AR279" s="2" t="n">
        <v>38295.6497998633</v>
      </c>
      <c r="AS279" s="2" t="n">
        <v>253987.786159315</v>
      </c>
    </row>
    <row r="280">
      <c r="A280" s="2" t="s">
        <v>1935</v>
      </c>
      <c r="B280" s="2" t="n">
        <v>192.061878458338</v>
      </c>
      <c r="C280" s="2" t="n">
        <v>0.586266666666667</v>
      </c>
      <c r="D280" s="2" t="s">
        <v>59</v>
      </c>
      <c r="E280" s="2" t="s">
        <v>1936</v>
      </c>
      <c r="F280" s="2" t="n">
        <v>47638</v>
      </c>
      <c r="G280" s="5" t="str">
        <f>HYPERLINK("http://funmeta.oebiotech.com/network/47638", "http://funmeta.oebiotech.com/network/47638")</f>
      </c>
      <c r="H280" s="2" t="s">
        <v>1937</v>
      </c>
      <c r="I280" s="2" t="n">
        <v>6307</v>
      </c>
      <c r="J280" s="2"/>
      <c r="K280" s="2" t="n">
        <v>78741</v>
      </c>
      <c r="L280" s="2"/>
      <c r="M280" s="2"/>
      <c r="N280" s="2"/>
      <c r="O280" s="2" t="n">
        <v>4624</v>
      </c>
      <c r="P280" s="2" t="s">
        <v>1938</v>
      </c>
      <c r="Q280" s="2" t="s">
        <v>1939</v>
      </c>
      <c r="R280" s="2" t="s">
        <v>1940</v>
      </c>
      <c r="S280" s="2" t="s">
        <v>147</v>
      </c>
      <c r="T280" s="2" t="s">
        <v>1941</v>
      </c>
      <c r="U280" s="2" t="s">
        <v>1942</v>
      </c>
      <c r="V280" s="2" t="s">
        <v>54</v>
      </c>
      <c r="W280" s="2" t="n">
        <v>38.6</v>
      </c>
      <c r="X280" s="2" t="n">
        <v>2.81</v>
      </c>
      <c r="Y280" s="2" t="s">
        <v>1943</v>
      </c>
      <c r="Z280" s="2" t="s">
        <v>1944</v>
      </c>
      <c r="AA280" s="2" t="n">
        <v>-7.30708856633965</v>
      </c>
      <c r="AB280" s="2" t="n">
        <v>1.12982440819013</v>
      </c>
      <c r="AC280" s="2" t="n">
        <v>216174.024420301</v>
      </c>
      <c r="AD280" s="2" t="n">
        <v>43787.6157871375</v>
      </c>
      <c r="AE280" s="4" t="n">
        <v>4.93687588452352</v>
      </c>
      <c r="AF280" s="4" t="n">
        <v>2.30359837547536</v>
      </c>
      <c r="AG280" s="4" t="s">
        <v>72</v>
      </c>
      <c r="AH280" s="2" t="n">
        <v>0.0181697287249369</v>
      </c>
      <c r="AI280" s="2" t="n">
        <v>0.0542001513843731</v>
      </c>
      <c r="AJ280" s="2" t="n">
        <v>320124.309394335</v>
      </c>
      <c r="AK280" s="2" t="n">
        <v>77275.6571984153</v>
      </c>
      <c r="AL280" s="2" t="n">
        <v>87621.3106597292</v>
      </c>
      <c r="AM280" s="2" t="n">
        <v>235324.009480311</v>
      </c>
      <c r="AN280" s="2" t="n">
        <v>360524.835368713</v>
      </c>
      <c r="AO280" s="2" t="n">
        <v>44467.0822407052</v>
      </c>
      <c r="AP280" s="2" t="n">
        <v>37823.7764016514</v>
      </c>
      <c r="AQ280" s="2" t="n">
        <v>45470.5144378399</v>
      </c>
      <c r="AR280" s="2" t="n">
        <v>45927.9066547995</v>
      </c>
      <c r="AS280" s="2" t="n">
        <v>45248.7992006917</v>
      </c>
    </row>
    <row r="281">
      <c r="A281" s="2" t="s">
        <v>1945</v>
      </c>
      <c r="B281" s="2" t="n">
        <v>599.302484604628</v>
      </c>
      <c r="C281" s="2" t="n">
        <v>6.80381666666667</v>
      </c>
      <c r="D281" s="2" t="s">
        <v>59</v>
      </c>
      <c r="E281" s="2" t="s">
        <v>1946</v>
      </c>
      <c r="F281" s="2" t="n">
        <v>53312</v>
      </c>
      <c r="G281" s="5" t="str">
        <f>HYPERLINK("http://funmeta.oebiotech.com/network/53312", "http://funmeta.oebiotech.com/network/53312")</f>
      </c>
      <c r="H281" s="2" t="s">
        <v>1947</v>
      </c>
      <c r="I281" s="2" t="n">
        <v>2496</v>
      </c>
      <c r="J281" s="2"/>
      <c r="K281" s="2" t="n">
        <v>17076</v>
      </c>
      <c r="L281" s="2" t="s">
        <v>1948</v>
      </c>
      <c r="M281" s="2"/>
      <c r="N281" s="2"/>
      <c r="O281" s="2" t="n">
        <v>19649</v>
      </c>
      <c r="P281" s="2" t="s">
        <v>1949</v>
      </c>
      <c r="Q281" s="2" t="s">
        <v>1950</v>
      </c>
      <c r="R281" s="2" t="s">
        <v>1951</v>
      </c>
      <c r="S281" s="2" t="s">
        <v>137</v>
      </c>
      <c r="T281" s="2" t="s">
        <v>138</v>
      </c>
      <c r="U281" s="2" t="s">
        <v>675</v>
      </c>
      <c r="V281" s="2" t="s">
        <v>54</v>
      </c>
      <c r="W281" s="2" t="n">
        <v>38.2</v>
      </c>
      <c r="X281" s="2" t="n">
        <v>0</v>
      </c>
      <c r="Y281" s="2" t="s">
        <v>70</v>
      </c>
      <c r="Z281" s="2" t="s">
        <v>1952</v>
      </c>
      <c r="AA281" s="2" t="n">
        <v>5.14283869475788</v>
      </c>
      <c r="AB281" s="2" t="n">
        <v>1.12660469234807</v>
      </c>
      <c r="AC281" s="2" t="n">
        <v>0.00000136409140715624</v>
      </c>
      <c r="AD281" s="2" t="n">
        <v>179669.888417107</v>
      </c>
      <c r="AE281" s="3" t="n">
        <v>0.00000000000759220935223979</v>
      </c>
      <c r="AF281" s="3" t="n">
        <v>-36.9386173639824</v>
      </c>
      <c r="AG281" s="3" t="s">
        <v>57</v>
      </c>
      <c r="AH281" s="2" t="n">
        <v>0.0497690418990692</v>
      </c>
      <c r="AI281" s="2" t="n">
        <v>0.104095181491398</v>
      </c>
      <c r="AJ281" s="2" t="n">
        <v>0.00000136409140715624</v>
      </c>
      <c r="AK281" s="2" t="n">
        <v>0.00000136409140715624</v>
      </c>
      <c r="AL281" s="2" t="n">
        <v>0.00000136409140715624</v>
      </c>
      <c r="AM281" s="2" t="n">
        <v>0.00000136409140715624</v>
      </c>
      <c r="AN281" s="2" t="n">
        <v>0.00000136409140715624</v>
      </c>
      <c r="AO281" s="2" t="n">
        <v>129615.761220118</v>
      </c>
      <c r="AP281" s="2" t="n">
        <v>210063.23705472</v>
      </c>
      <c r="AQ281" s="2" t="n">
        <v>464990.402145637</v>
      </c>
      <c r="AR281" s="2" t="n">
        <v>24755.5530429236</v>
      </c>
      <c r="AS281" s="2" t="n">
        <v>68924.488622137</v>
      </c>
    </row>
    <row r="282">
      <c r="A282" s="2" t="s">
        <v>1953</v>
      </c>
      <c r="B282" s="2" t="n">
        <v>239.102917224143</v>
      </c>
      <c r="C282" s="2" t="n">
        <v>1.62496666666667</v>
      </c>
      <c r="D282" s="2" t="s">
        <v>59</v>
      </c>
      <c r="E282" s="2" t="s">
        <v>1954</v>
      </c>
      <c r="F282" s="2" t="n">
        <v>53880</v>
      </c>
      <c r="G282" s="5" t="str">
        <f>HYPERLINK("http://funmeta.oebiotech.com/network/53880", "http://funmeta.oebiotech.com/network/53880")</f>
      </c>
      <c r="H282" s="2" t="s">
        <v>1955</v>
      </c>
      <c r="I282" s="2" t="n">
        <v>85762</v>
      </c>
      <c r="J282" s="2"/>
      <c r="K282" s="2" t="n">
        <v>73517</v>
      </c>
      <c r="L282" s="2"/>
      <c r="M282" s="2"/>
      <c r="N282" s="2"/>
      <c r="O282" s="2" t="n">
        <v>92829</v>
      </c>
      <c r="P282" s="2" t="s">
        <v>1956</v>
      </c>
      <c r="Q282" s="2" t="s">
        <v>1957</v>
      </c>
      <c r="R282" s="2" t="s">
        <v>1958</v>
      </c>
      <c r="S282" s="2" t="s">
        <v>110</v>
      </c>
      <c r="T282" s="2" t="s">
        <v>111</v>
      </c>
      <c r="U282" s="2" t="s">
        <v>112</v>
      </c>
      <c r="V282" s="2" t="s">
        <v>122</v>
      </c>
      <c r="W282" s="2" t="n">
        <v>40.7</v>
      </c>
      <c r="X282" s="2" t="n">
        <v>0</v>
      </c>
      <c r="Y282" s="2" t="s">
        <v>332</v>
      </c>
      <c r="Z282" s="2" t="s">
        <v>1959</v>
      </c>
      <c r="AA282" s="2" t="n">
        <v>1.19219175964643</v>
      </c>
      <c r="AB282" s="2" t="n">
        <v>1.1199352026574</v>
      </c>
      <c r="AC282" s="2" t="n">
        <v>385219.222105059</v>
      </c>
      <c r="AD282" s="2" t="n">
        <v>586460.488968877</v>
      </c>
      <c r="AE282" s="3" t="n">
        <v>0.656854518507047</v>
      </c>
      <c r="AF282" s="3" t="n">
        <v>-0.606354220031747</v>
      </c>
      <c r="AG282" s="3" t="s">
        <v>57</v>
      </c>
      <c r="AH282" s="2" t="n">
        <v>0.0365012514629691</v>
      </c>
      <c r="AI282" s="2" t="n">
        <v>0.0862490659422665</v>
      </c>
      <c r="AJ282" s="2" t="n">
        <v>364610.380243809</v>
      </c>
      <c r="AK282" s="2" t="n">
        <v>503677.82253093</v>
      </c>
      <c r="AL282" s="2" t="n">
        <v>540180.921833628</v>
      </c>
      <c r="AM282" s="2" t="n">
        <v>413827.124343881</v>
      </c>
      <c r="AN282" s="2" t="n">
        <v>103799.861573048</v>
      </c>
      <c r="AO282" s="2" t="n">
        <v>558585.676511102</v>
      </c>
      <c r="AP282" s="2" t="n">
        <v>590029.896064023</v>
      </c>
      <c r="AQ282" s="2" t="n">
        <v>585822.339329714</v>
      </c>
      <c r="AR282" s="2" t="n">
        <v>531065.139185439</v>
      </c>
      <c r="AS282" s="2" t="n">
        <v>666799.393754108</v>
      </c>
    </row>
    <row r="283">
      <c r="A283" s="2" t="s">
        <v>1960</v>
      </c>
      <c r="B283" s="2" t="n">
        <v>462.234815466169</v>
      </c>
      <c r="C283" s="2" t="n">
        <v>4.2789</v>
      </c>
      <c r="D283" s="2" t="s">
        <v>59</v>
      </c>
      <c r="E283" s="2" t="s">
        <v>1961</v>
      </c>
      <c r="F283" s="2" t="n">
        <v>53326</v>
      </c>
      <c r="G283" s="5" t="str">
        <f>HYPERLINK("http://funmeta.oebiotech.com/network/53326", "http://funmeta.oebiotech.com/network/53326")</f>
      </c>
      <c r="H283" s="2" t="s">
        <v>1962</v>
      </c>
      <c r="I283" s="2" t="n">
        <v>1938</v>
      </c>
      <c r="J283" s="2"/>
      <c r="K283" s="2" t="n">
        <v>8212</v>
      </c>
      <c r="L283" s="2" t="s">
        <v>1963</v>
      </c>
      <c r="M283" s="2"/>
      <c r="N283" s="2"/>
      <c r="O283" s="2" t="n">
        <v>16362</v>
      </c>
      <c r="P283" s="2" t="s">
        <v>1964</v>
      </c>
      <c r="Q283" s="2" t="s">
        <v>1965</v>
      </c>
      <c r="R283" s="2" t="s">
        <v>1966</v>
      </c>
      <c r="S283" s="2" t="s">
        <v>147</v>
      </c>
      <c r="T283" s="2" t="s">
        <v>148</v>
      </c>
      <c r="U283" s="2" t="s">
        <v>1349</v>
      </c>
      <c r="V283" s="2" t="s">
        <v>54</v>
      </c>
      <c r="W283" s="2" t="n">
        <v>44.1</v>
      </c>
      <c r="X283" s="2" t="n">
        <v>29.5</v>
      </c>
      <c r="Y283" s="2" t="s">
        <v>1967</v>
      </c>
      <c r="Z283" s="2" t="s">
        <v>1968</v>
      </c>
      <c r="AA283" s="2" t="n">
        <v>-0.715416051124797</v>
      </c>
      <c r="AB283" s="2" t="n">
        <v>1.11926612853634</v>
      </c>
      <c r="AC283" s="2" t="n">
        <v>26481.8673503593</v>
      </c>
      <c r="AD283" s="2" t="n">
        <v>154985.361680957</v>
      </c>
      <c r="AE283" s="3" t="n">
        <v>0.170866893899781</v>
      </c>
      <c r="AF283" s="3" t="n">
        <v>-2.54905519836099</v>
      </c>
      <c r="AG283" s="3" t="s">
        <v>57</v>
      </c>
      <c r="AH283" s="2" t="n">
        <v>0.00000186902295437722</v>
      </c>
      <c r="AI283" s="2" t="n">
        <v>0.000312927843218586</v>
      </c>
      <c r="AJ283" s="2" t="n">
        <v>11144.7709817305</v>
      </c>
      <c r="AK283" s="2" t="n">
        <v>50477.6065364282</v>
      </c>
      <c r="AL283" s="2" t="n">
        <v>45267.8498584045</v>
      </c>
      <c r="AM283" s="2" t="n">
        <v>24431.652689087</v>
      </c>
      <c r="AN283" s="2" t="n">
        <v>1087.45668614629</v>
      </c>
      <c r="AO283" s="2" t="n">
        <v>163500.845400134</v>
      </c>
      <c r="AP283" s="2" t="n">
        <v>160338.507863975</v>
      </c>
      <c r="AQ283" s="2" t="n">
        <v>157686.622543874</v>
      </c>
      <c r="AR283" s="2" t="n">
        <v>137934.356885527</v>
      </c>
      <c r="AS283" s="2" t="n">
        <v>155466.475711276</v>
      </c>
    </row>
    <row r="284">
      <c r="A284" s="2" t="s">
        <v>1969</v>
      </c>
      <c r="B284" s="2" t="n">
        <v>377.272767423439</v>
      </c>
      <c r="C284" s="2" t="n">
        <v>12.8094</v>
      </c>
      <c r="D284" s="2" t="s">
        <v>46</v>
      </c>
      <c r="E284" s="2" t="s">
        <v>1970</v>
      </c>
      <c r="F284" s="2" t="n">
        <v>203542</v>
      </c>
      <c r="G284" s="5" t="str">
        <f>HYPERLINK("http://funmeta.oebiotech.com/network/203542", "http://funmeta.oebiotech.com/network/203542")</f>
      </c>
      <c r="H284" s="2" t="s">
        <v>1971</v>
      </c>
      <c r="I284" s="2" t="n">
        <v>434904</v>
      </c>
      <c r="J284" s="2"/>
      <c r="K284" s="2" t="n">
        <v>139557</v>
      </c>
      <c r="L284" s="2"/>
      <c r="M284" s="2"/>
      <c r="N284" s="2"/>
      <c r="O284" s="2" t="n">
        <v>177990</v>
      </c>
      <c r="P284" s="2"/>
      <c r="Q284" s="2" t="s">
        <v>1972</v>
      </c>
      <c r="R284" s="2" t="s">
        <v>1973</v>
      </c>
      <c r="S284" s="2" t="s">
        <v>51</v>
      </c>
      <c r="T284" s="2" t="s">
        <v>1974</v>
      </c>
      <c r="U284" s="2" t="s">
        <v>1975</v>
      </c>
      <c r="V284" s="2" t="s">
        <v>54</v>
      </c>
      <c r="W284" s="2" t="n">
        <v>37.5</v>
      </c>
      <c r="X284" s="2" t="n">
        <v>0</v>
      </c>
      <c r="Y284" s="2" t="s">
        <v>290</v>
      </c>
      <c r="Z284" s="2" t="s">
        <v>1976</v>
      </c>
      <c r="AA284" s="2" t="n">
        <v>4.48544272178373</v>
      </c>
      <c r="AB284" s="2" t="n">
        <v>1.11669689544889</v>
      </c>
      <c r="AC284" s="2" t="n">
        <v>373119.776071601</v>
      </c>
      <c r="AD284" s="2" t="n">
        <v>207790.592202185</v>
      </c>
      <c r="AE284" s="4" t="n">
        <v>1.79565288359421</v>
      </c>
      <c r="AF284" s="4" t="n">
        <v>0.844508490659712</v>
      </c>
      <c r="AG284" s="4" t="s">
        <v>72</v>
      </c>
      <c r="AH284" s="2" t="n">
        <v>0.0349610328127752</v>
      </c>
      <c r="AI284" s="2" t="n">
        <v>0.0837578300420533</v>
      </c>
      <c r="AJ284" s="2" t="n">
        <v>535585.401679202</v>
      </c>
      <c r="AK284" s="2" t="n">
        <v>223743.853558463</v>
      </c>
      <c r="AL284" s="2" t="n">
        <v>218502.988118302</v>
      </c>
      <c r="AM284" s="2" t="n">
        <v>436972.819208909</v>
      </c>
      <c r="AN284" s="2" t="n">
        <v>450793.81779313</v>
      </c>
      <c r="AO284" s="2" t="n">
        <v>220890.8189026</v>
      </c>
      <c r="AP284" s="2" t="n">
        <v>222197.094369141</v>
      </c>
      <c r="AQ284" s="2" t="n">
        <v>166287.404966207</v>
      </c>
      <c r="AR284" s="2" t="n">
        <v>207082.34457884</v>
      </c>
      <c r="AS284" s="2" t="n">
        <v>222495.298194137</v>
      </c>
    </row>
    <row r="285">
      <c r="A285" s="2" t="s">
        <v>1977</v>
      </c>
      <c r="B285" s="2" t="n">
        <v>375.187640676225</v>
      </c>
      <c r="C285" s="2" t="n">
        <v>1.07008333333333</v>
      </c>
      <c r="D285" s="2" t="s">
        <v>59</v>
      </c>
      <c r="E285" s="2" t="s">
        <v>1978</v>
      </c>
      <c r="F285" s="2" t="n">
        <v>28</v>
      </c>
      <c r="G285" s="5" t="str">
        <f>HYPERLINK("http://funmeta.oebiotech.com/network/28", "http://funmeta.oebiotech.com/network/28")</f>
      </c>
      <c r="H285" s="2"/>
      <c r="I285" s="2"/>
      <c r="J285" s="2" t="s">
        <v>1979</v>
      </c>
      <c r="K285" s="2"/>
      <c r="L285" s="2"/>
      <c r="M285" s="2"/>
      <c r="N285" s="2"/>
      <c r="O285" s="2" t="n">
        <v>101891711</v>
      </c>
      <c r="P285" s="2"/>
      <c r="Q285" s="2" t="s">
        <v>1980</v>
      </c>
      <c r="R285" s="2" t="s">
        <v>1981</v>
      </c>
      <c r="S285" s="2" t="s">
        <v>66</v>
      </c>
      <c r="T285" s="2" t="s">
        <v>67</v>
      </c>
      <c r="U285" s="2" t="s">
        <v>68</v>
      </c>
      <c r="V285" s="2" t="s">
        <v>54</v>
      </c>
      <c r="W285" s="2" t="n">
        <v>40.1</v>
      </c>
      <c r="X285" s="2" t="n">
        <v>12.4</v>
      </c>
      <c r="Y285" s="2" t="s">
        <v>248</v>
      </c>
      <c r="Z285" s="2" t="s">
        <v>1982</v>
      </c>
      <c r="AA285" s="2" t="n">
        <v>0.394898203871791</v>
      </c>
      <c r="AB285" s="2" t="n">
        <v>1.1083907524469</v>
      </c>
      <c r="AC285" s="2" t="n">
        <v>64664.0517521218</v>
      </c>
      <c r="AD285" s="2" t="n">
        <v>193395.610527909</v>
      </c>
      <c r="AE285" s="3" t="n">
        <v>0.334361527521794</v>
      </c>
      <c r="AF285" s="3" t="n">
        <v>-1.58051923803858</v>
      </c>
      <c r="AG285" s="3" t="s">
        <v>57</v>
      </c>
      <c r="AH285" s="2" t="n">
        <v>0.000105988769797325</v>
      </c>
      <c r="AI285" s="2" t="n">
        <v>0.00147920599209669</v>
      </c>
      <c r="AJ285" s="2" t="n">
        <v>46124.8790438619</v>
      </c>
      <c r="AK285" s="2" t="n">
        <v>98087.388765554</v>
      </c>
      <c r="AL285" s="2" t="n">
        <v>99712.3481201849</v>
      </c>
      <c r="AM285" s="2" t="n">
        <v>60607.152515233</v>
      </c>
      <c r="AN285" s="2" t="n">
        <v>18788.4903157753</v>
      </c>
      <c r="AO285" s="2" t="n">
        <v>205835.890452038</v>
      </c>
      <c r="AP285" s="2" t="n">
        <v>182936.385067615</v>
      </c>
      <c r="AQ285" s="2" t="n">
        <v>207268.731620734</v>
      </c>
      <c r="AR285" s="2" t="n">
        <v>160420.514226868</v>
      </c>
      <c r="AS285" s="2" t="n">
        <v>210516.531272292</v>
      </c>
    </row>
    <row r="286">
      <c r="A286" s="2" t="s">
        <v>1983</v>
      </c>
      <c r="B286" s="2" t="n">
        <v>312.191903352128</v>
      </c>
      <c r="C286" s="2" t="n">
        <v>3.5558</v>
      </c>
      <c r="D286" s="2" t="s">
        <v>59</v>
      </c>
      <c r="E286" s="2" t="s">
        <v>1984</v>
      </c>
      <c r="F286" s="2" t="n">
        <v>264096</v>
      </c>
      <c r="G286" s="5" t="str">
        <f>HYPERLINK("http://funmeta.oebiotech.com/network/264096", "http://funmeta.oebiotech.com/network/264096")</f>
      </c>
      <c r="H286" s="2"/>
      <c r="I286" s="2" t="n">
        <v>21539</v>
      </c>
      <c r="J286" s="2"/>
      <c r="K286" s="2"/>
      <c r="L286" s="2"/>
      <c r="M286" s="2"/>
      <c r="N286" s="2"/>
      <c r="O286" s="2" t="n">
        <v>145457643</v>
      </c>
      <c r="P286" s="2"/>
      <c r="Q286" s="2" t="s">
        <v>1985</v>
      </c>
      <c r="R286" s="2" t="s">
        <v>1986</v>
      </c>
      <c r="S286" s="2" t="s">
        <v>110</v>
      </c>
      <c r="T286" s="2" t="s">
        <v>111</v>
      </c>
      <c r="U286" s="2" t="s">
        <v>112</v>
      </c>
      <c r="V286" s="2" t="s">
        <v>92</v>
      </c>
      <c r="W286" s="2" t="n">
        <v>59.5</v>
      </c>
      <c r="X286" s="2" t="n">
        <v>90.3</v>
      </c>
      <c r="Y286" s="2" t="s">
        <v>248</v>
      </c>
      <c r="Z286" s="2" t="s">
        <v>1987</v>
      </c>
      <c r="AA286" s="2" t="n">
        <v>0.387634139805779</v>
      </c>
      <c r="AB286" s="2" t="n">
        <v>1.10672711398706</v>
      </c>
      <c r="AC286" s="2" t="n">
        <v>3325.71735523118</v>
      </c>
      <c r="AD286" s="2" t="n">
        <v>151304.527233888</v>
      </c>
      <c r="AE286" s="3" t="n">
        <v>0.0219802897906039</v>
      </c>
      <c r="AF286" s="3" t="n">
        <v>-5.50764578270909</v>
      </c>
      <c r="AG286" s="3" t="s">
        <v>57</v>
      </c>
      <c r="AH286" s="2" t="n">
        <v>0.00850214440533686</v>
      </c>
      <c r="AI286" s="2" t="n">
        <v>0.0322398608763621</v>
      </c>
      <c r="AJ286" s="2" t="n">
        <v>2140.9050510898</v>
      </c>
      <c r="AK286" s="2" t="n">
        <v>2947.17733702889</v>
      </c>
      <c r="AL286" s="2" t="n">
        <v>6808.02323208554</v>
      </c>
      <c r="AM286" s="2" t="n">
        <v>3621.24184638762</v>
      </c>
      <c r="AN286" s="2" t="n">
        <v>1111.23930956404</v>
      </c>
      <c r="AO286" s="2" t="n">
        <v>94447.9277427878</v>
      </c>
      <c r="AP286" s="2" t="n">
        <v>93109.4132961278</v>
      </c>
      <c r="AQ286" s="2" t="n">
        <v>187571.058050619</v>
      </c>
      <c r="AR286" s="2" t="n">
        <v>77968.1887608283</v>
      </c>
      <c r="AS286" s="2" t="n">
        <v>303426.048319076</v>
      </c>
    </row>
    <row r="287">
      <c r="A287" s="2" t="s">
        <v>1988</v>
      </c>
      <c r="B287" s="2" t="n">
        <v>193.154787412587</v>
      </c>
      <c r="C287" s="2" t="n">
        <v>0.7166</v>
      </c>
      <c r="D287" s="2" t="s">
        <v>59</v>
      </c>
      <c r="E287" s="2" t="s">
        <v>1989</v>
      </c>
      <c r="F287" s="2" t="n">
        <v>209032</v>
      </c>
      <c r="G287" s="5" t="str">
        <f>HYPERLINK("http://funmeta.oebiotech.com/network/209032", "http://funmeta.oebiotech.com/network/209032")</f>
      </c>
      <c r="H287" s="2" t="s">
        <v>1990</v>
      </c>
      <c r="I287" s="2"/>
      <c r="J287" s="2"/>
      <c r="K287" s="2"/>
      <c r="L287" s="2"/>
      <c r="M287" s="2"/>
      <c r="N287" s="2"/>
      <c r="O287" s="2" t="n">
        <v>21121256</v>
      </c>
      <c r="P287" s="2"/>
      <c r="Q287" s="2" t="s">
        <v>1991</v>
      </c>
      <c r="R287" s="2" t="s">
        <v>1992</v>
      </c>
      <c r="S287" s="2" t="s">
        <v>77</v>
      </c>
      <c r="T287" s="2" t="s">
        <v>77</v>
      </c>
      <c r="U287" s="2" t="s">
        <v>77</v>
      </c>
      <c r="V287" s="2" t="s">
        <v>54</v>
      </c>
      <c r="W287" s="2" t="n">
        <v>45.4</v>
      </c>
      <c r="X287" s="2" t="n">
        <v>32.7</v>
      </c>
      <c r="Y287" s="2" t="s">
        <v>70</v>
      </c>
      <c r="Z287" s="2" t="s">
        <v>1993</v>
      </c>
      <c r="AA287" s="2" t="n">
        <v>0.676526646847566</v>
      </c>
      <c r="AB287" s="2" t="n">
        <v>1.103659719111</v>
      </c>
      <c r="AC287" s="2" t="n">
        <v>169707.825169361</v>
      </c>
      <c r="AD287" s="2" t="n">
        <v>17039.8679371311</v>
      </c>
      <c r="AE287" s="4" t="n">
        <v>9.95945659881292</v>
      </c>
      <c r="AF287" s="4" t="n">
        <v>3.31606702908207</v>
      </c>
      <c r="AG287" s="4" t="s">
        <v>72</v>
      </c>
      <c r="AH287" s="2" t="n">
        <v>0.0291669205078848</v>
      </c>
      <c r="AI287" s="2" t="n">
        <v>0.0745066060053203</v>
      </c>
      <c r="AJ287" s="2" t="n">
        <v>284439.869869596</v>
      </c>
      <c r="AK287" s="2" t="n">
        <v>312540.226776325</v>
      </c>
      <c r="AL287" s="2" t="n">
        <v>16670.1065935315</v>
      </c>
      <c r="AM287" s="2" t="n">
        <v>80442.040151525</v>
      </c>
      <c r="AN287" s="2" t="n">
        <v>154446.882455827</v>
      </c>
      <c r="AO287" s="2" t="n">
        <v>38822.0779807197</v>
      </c>
      <c r="AP287" s="2" t="n">
        <v>3453.65199454222</v>
      </c>
      <c r="AQ287" s="2" t="n">
        <v>7102.19532363937</v>
      </c>
      <c r="AR287" s="2" t="n">
        <v>30866.1329170636</v>
      </c>
      <c r="AS287" s="2" t="n">
        <v>4955.28146969054</v>
      </c>
    </row>
    <row r="288">
      <c r="A288" s="2" t="s">
        <v>1994</v>
      </c>
      <c r="B288" s="2" t="n">
        <v>326.207672049514</v>
      </c>
      <c r="C288" s="2" t="n">
        <v>3.5737</v>
      </c>
      <c r="D288" s="2" t="s">
        <v>59</v>
      </c>
      <c r="E288" s="2" t="s">
        <v>1995</v>
      </c>
      <c r="F288" s="2" t="n">
        <v>207419</v>
      </c>
      <c r="G288" s="5" t="str">
        <f>HYPERLINK("http://funmeta.oebiotech.com/network/207419", "http://funmeta.oebiotech.com/network/207419")</f>
      </c>
      <c r="H288" s="2" t="s">
        <v>1996</v>
      </c>
      <c r="I288" s="2"/>
      <c r="J288" s="2"/>
      <c r="K288" s="2"/>
      <c r="L288" s="2"/>
      <c r="M288" s="2"/>
      <c r="N288" s="2"/>
      <c r="O288" s="2" t="n">
        <v>18222233</v>
      </c>
      <c r="P288" s="2"/>
      <c r="Q288" s="2" t="s">
        <v>1997</v>
      </c>
      <c r="R288" s="2" t="s">
        <v>1998</v>
      </c>
      <c r="S288" s="2" t="s">
        <v>110</v>
      </c>
      <c r="T288" s="2" t="s">
        <v>111</v>
      </c>
      <c r="U288" s="2" t="s">
        <v>112</v>
      </c>
      <c r="V288" s="2" t="s">
        <v>54</v>
      </c>
      <c r="W288" s="2" t="n">
        <v>47.5</v>
      </c>
      <c r="X288" s="2" t="n">
        <v>44.8</v>
      </c>
      <c r="Y288" s="2" t="s">
        <v>248</v>
      </c>
      <c r="Z288" s="2" t="s">
        <v>1999</v>
      </c>
      <c r="AA288" s="2" t="n">
        <v>0.735728380160765</v>
      </c>
      <c r="AB288" s="2" t="n">
        <v>1.09745012431528</v>
      </c>
      <c r="AC288" s="2" t="n">
        <v>14249.7685429244</v>
      </c>
      <c r="AD288" s="2" t="n">
        <v>146665.128729362</v>
      </c>
      <c r="AE288" s="3" t="n">
        <v>0.0971585315908269</v>
      </c>
      <c r="AF288" s="3" t="n">
        <v>-3.36351550386271</v>
      </c>
      <c r="AG288" s="3" t="s">
        <v>57</v>
      </c>
      <c r="AH288" s="2" t="n">
        <v>0.00226949986413871</v>
      </c>
      <c r="AI288" s="2" t="n">
        <v>0.0121512934560619</v>
      </c>
      <c r="AJ288" s="2" t="n">
        <v>9096.34130697569</v>
      </c>
      <c r="AK288" s="2" t="n">
        <v>15134.6227588614</v>
      </c>
      <c r="AL288" s="2" t="n">
        <v>24782.2773647465</v>
      </c>
      <c r="AM288" s="2" t="n">
        <v>15095.9761600027</v>
      </c>
      <c r="AN288" s="2" t="n">
        <v>7139.62512403571</v>
      </c>
      <c r="AO288" s="2" t="n">
        <v>130954.923619824</v>
      </c>
      <c r="AP288" s="2" t="n">
        <v>123821.06336144</v>
      </c>
      <c r="AQ288" s="2" t="n">
        <v>260361.751531631</v>
      </c>
      <c r="AR288" s="2" t="n">
        <v>83030.8811330363</v>
      </c>
      <c r="AS288" s="2" t="n">
        <v>135157.024000878</v>
      </c>
    </row>
    <row r="289">
      <c r="A289" s="2" t="s">
        <v>2000</v>
      </c>
      <c r="B289" s="2" t="n">
        <v>419.229299475788</v>
      </c>
      <c r="C289" s="2" t="n">
        <v>4.2973</v>
      </c>
      <c r="D289" s="2" t="s">
        <v>59</v>
      </c>
      <c r="E289" s="2" t="s">
        <v>2001</v>
      </c>
      <c r="F289" s="2" t="n">
        <v>204494</v>
      </c>
      <c r="G289" s="5" t="str">
        <f>HYPERLINK("http://funmeta.oebiotech.com/network/204494", "http://funmeta.oebiotech.com/network/204494")</f>
      </c>
      <c r="H289" s="2" t="s">
        <v>2002</v>
      </c>
      <c r="I289" s="2"/>
      <c r="J289" s="2"/>
      <c r="K289" s="2"/>
      <c r="L289" s="2"/>
      <c r="M289" s="2"/>
      <c r="N289" s="2"/>
      <c r="O289" s="2" t="n">
        <v>107996</v>
      </c>
      <c r="P289" s="2"/>
      <c r="Q289" s="2" t="s">
        <v>2003</v>
      </c>
      <c r="R289" s="2" t="s">
        <v>2004</v>
      </c>
      <c r="S289" s="2" t="s">
        <v>51</v>
      </c>
      <c r="T289" s="2" t="s">
        <v>2005</v>
      </c>
      <c r="U289" s="2" t="s">
        <v>77</v>
      </c>
      <c r="V289" s="2" t="s">
        <v>54</v>
      </c>
      <c r="W289" s="2" t="n">
        <v>38.2</v>
      </c>
      <c r="X289" s="2" t="n">
        <v>1.39</v>
      </c>
      <c r="Y289" s="2" t="s">
        <v>190</v>
      </c>
      <c r="Z289" s="2" t="s">
        <v>2006</v>
      </c>
      <c r="AA289" s="2" t="n">
        <v>-3.06403889122128</v>
      </c>
      <c r="AB289" s="2" t="n">
        <v>1.08336602811116</v>
      </c>
      <c r="AC289" s="2" t="n">
        <v>68508.5381199348</v>
      </c>
      <c r="AD289" s="2" t="n">
        <v>201284.50984778</v>
      </c>
      <c r="AE289" s="3" t="n">
        <v>0.340356732724956</v>
      </c>
      <c r="AF289" s="3" t="n">
        <v>-1.55488044637871</v>
      </c>
      <c r="AG289" s="3" t="s">
        <v>57</v>
      </c>
      <c r="AH289" s="2" t="n">
        <v>0.00105399851325068</v>
      </c>
      <c r="AI289" s="2" t="n">
        <v>0.00698691322132236</v>
      </c>
      <c r="AJ289" s="2" t="n">
        <v>26867.6451441294</v>
      </c>
      <c r="AK289" s="2" t="n">
        <v>101422.204860559</v>
      </c>
      <c r="AL289" s="2" t="n">
        <v>148520.841411492</v>
      </c>
      <c r="AM289" s="2" t="n">
        <v>53810.4854107942</v>
      </c>
      <c r="AN289" s="2" t="n">
        <v>11921.5137726992</v>
      </c>
      <c r="AO289" s="2" t="n">
        <v>194889.28714601</v>
      </c>
      <c r="AP289" s="2" t="n">
        <v>229465.445419769</v>
      </c>
      <c r="AQ289" s="2" t="n">
        <v>208570.90502453</v>
      </c>
      <c r="AR289" s="2" t="n">
        <v>177790.778069139</v>
      </c>
      <c r="AS289" s="2" t="n">
        <v>195706.133579454</v>
      </c>
    </row>
    <row r="290">
      <c r="A290" s="2" t="s">
        <v>2007</v>
      </c>
      <c r="B290" s="2" t="n">
        <v>447.245427896509</v>
      </c>
      <c r="C290" s="2" t="n">
        <v>3.8374</v>
      </c>
      <c r="D290" s="2" t="s">
        <v>59</v>
      </c>
      <c r="E290" s="2" t="s">
        <v>2008</v>
      </c>
      <c r="F290" s="2" t="n">
        <v>210531</v>
      </c>
      <c r="G290" s="5" t="str">
        <f>HYPERLINK("http://funmeta.oebiotech.com/network/210531", "http://funmeta.oebiotech.com/network/210531")</f>
      </c>
      <c r="H290" s="2" t="s">
        <v>2009</v>
      </c>
      <c r="I290" s="2"/>
      <c r="J290" s="2"/>
      <c r="K290" s="2"/>
      <c r="L290" s="2"/>
      <c r="M290" s="2"/>
      <c r="N290" s="2"/>
      <c r="O290" s="2" t="n">
        <v>22016536</v>
      </c>
      <c r="P290" s="2"/>
      <c r="Q290" s="2" t="s">
        <v>2010</v>
      </c>
      <c r="R290" s="2" t="s">
        <v>2011</v>
      </c>
      <c r="S290" s="2" t="s">
        <v>110</v>
      </c>
      <c r="T290" s="2" t="s">
        <v>111</v>
      </c>
      <c r="U290" s="2" t="s">
        <v>112</v>
      </c>
      <c r="V290" s="2" t="s">
        <v>54</v>
      </c>
      <c r="W290" s="2" t="n">
        <v>42.3</v>
      </c>
      <c r="X290" s="2" t="n">
        <v>25.1</v>
      </c>
      <c r="Y290" s="2" t="s">
        <v>363</v>
      </c>
      <c r="Z290" s="2" t="s">
        <v>2012</v>
      </c>
      <c r="AA290" s="2" t="n">
        <v>-2.66268812106278</v>
      </c>
      <c r="AB290" s="2" t="n">
        <v>1.08138920467535</v>
      </c>
      <c r="AC290" s="2" t="n">
        <v>79521.6411632252</v>
      </c>
      <c r="AD290" s="2" t="n">
        <v>217079.208869214</v>
      </c>
      <c r="AE290" s="3" t="n">
        <v>0.366325460542541</v>
      </c>
      <c r="AF290" s="3" t="n">
        <v>-1.44880211941567</v>
      </c>
      <c r="AG290" s="3" t="s">
        <v>57</v>
      </c>
      <c r="AH290" s="2" t="n">
        <v>0.00258848118956637</v>
      </c>
      <c r="AI290" s="2" t="n">
        <v>0.0133997347799107</v>
      </c>
      <c r="AJ290" s="2" t="n">
        <v>23190.5380745023</v>
      </c>
      <c r="AK290" s="2" t="n">
        <v>140924.247775963</v>
      </c>
      <c r="AL290" s="2" t="n">
        <v>162443.447095483</v>
      </c>
      <c r="AM290" s="2" t="n">
        <v>70554.2178301043</v>
      </c>
      <c r="AN290" s="2" t="n">
        <v>495.755040073164</v>
      </c>
      <c r="AO290" s="2" t="n">
        <v>230282.352308563</v>
      </c>
      <c r="AP290" s="2" t="n">
        <v>212470.884954603</v>
      </c>
      <c r="AQ290" s="2" t="n">
        <v>212106.781448323</v>
      </c>
      <c r="AR290" s="2" t="n">
        <v>218574.29847258</v>
      </c>
      <c r="AS290" s="2" t="n">
        <v>211961.727161999</v>
      </c>
    </row>
    <row r="291">
      <c r="A291" s="2" t="s">
        <v>2013</v>
      </c>
      <c r="B291" s="2" t="n">
        <v>500.273005726459</v>
      </c>
      <c r="C291" s="2" t="n">
        <v>4.3581</v>
      </c>
      <c r="D291" s="2" t="s">
        <v>46</v>
      </c>
      <c r="E291" s="2" t="s">
        <v>2014</v>
      </c>
      <c r="F291" s="2" t="n">
        <v>57832</v>
      </c>
      <c r="G291" s="5" t="str">
        <f>HYPERLINK("http://funmeta.oebiotech.com/network/57832", "http://funmeta.oebiotech.com/network/57832")</f>
      </c>
      <c r="H291" s="2" t="s">
        <v>2015</v>
      </c>
      <c r="I291" s="2" t="n">
        <v>89417</v>
      </c>
      <c r="J291" s="2"/>
      <c r="K291" s="2" t="n">
        <v>172729</v>
      </c>
      <c r="L291" s="2"/>
      <c r="M291" s="2"/>
      <c r="N291" s="2"/>
      <c r="O291" s="2" t="n">
        <v>85261327</v>
      </c>
      <c r="P291" s="2" t="s">
        <v>2016</v>
      </c>
      <c r="Q291" s="2" t="s">
        <v>2017</v>
      </c>
      <c r="R291" s="2" t="s">
        <v>2018</v>
      </c>
      <c r="S291" s="2" t="s">
        <v>110</v>
      </c>
      <c r="T291" s="2" t="s">
        <v>111</v>
      </c>
      <c r="U291" s="2" t="s">
        <v>112</v>
      </c>
      <c r="V291" s="2" t="s">
        <v>122</v>
      </c>
      <c r="W291" s="2" t="n">
        <v>43.5</v>
      </c>
      <c r="X291" s="2" t="n">
        <v>0</v>
      </c>
      <c r="Y291" s="2" t="s">
        <v>438</v>
      </c>
      <c r="Z291" s="2" t="s">
        <v>2019</v>
      </c>
      <c r="AA291" s="2" t="n">
        <v>-6.93983871004061</v>
      </c>
      <c r="AB291" s="2" t="n">
        <v>1.07883789710946</v>
      </c>
      <c r="AC291" s="2" t="n">
        <v>103580.742345062</v>
      </c>
      <c r="AD291" s="2" t="n">
        <v>254516.835715639</v>
      </c>
      <c r="AE291" s="3" t="n">
        <v>0.406970101030129</v>
      </c>
      <c r="AF291" s="3" t="n">
        <v>-1.29700528732466</v>
      </c>
      <c r="AG291" s="3" t="s">
        <v>57</v>
      </c>
      <c r="AH291" s="2" t="n">
        <v>0.0142535572057409</v>
      </c>
      <c r="AI291" s="2" t="n">
        <v>0.0457425220293767</v>
      </c>
      <c r="AJ291" s="2" t="n">
        <v>25109.2887955595</v>
      </c>
      <c r="AK291" s="2" t="n">
        <v>192390.50896017</v>
      </c>
      <c r="AL291" s="2" t="n">
        <v>223734.142851872</v>
      </c>
      <c r="AM291" s="2" t="n">
        <v>76537.5887317457</v>
      </c>
      <c r="AN291" s="2" t="n">
        <v>132.182385964761</v>
      </c>
      <c r="AO291" s="2" t="n">
        <v>320637.153069074</v>
      </c>
      <c r="AP291" s="2" t="n">
        <v>242133.964395828</v>
      </c>
      <c r="AQ291" s="2" t="n">
        <v>236283.716299147</v>
      </c>
      <c r="AR291" s="2" t="n">
        <v>263584.400312185</v>
      </c>
      <c r="AS291" s="2" t="n">
        <v>209944.944501961</v>
      </c>
    </row>
    <row r="292">
      <c r="A292" s="2" t="s">
        <v>2020</v>
      </c>
      <c r="B292" s="2" t="n">
        <v>232.173744630681</v>
      </c>
      <c r="C292" s="2" t="n">
        <v>3.59008333333333</v>
      </c>
      <c r="D292" s="2" t="s">
        <v>59</v>
      </c>
      <c r="E292" s="2" t="s">
        <v>2021</v>
      </c>
      <c r="F292" s="2" t="n">
        <v>202831</v>
      </c>
      <c r="G292" s="5" t="str">
        <f>HYPERLINK("http://funmeta.oebiotech.com/network/202831", "http://funmeta.oebiotech.com/network/202831")</f>
      </c>
      <c r="H292" s="2" t="s">
        <v>2022</v>
      </c>
      <c r="I292" s="2"/>
      <c r="J292" s="2"/>
      <c r="K292" s="2"/>
      <c r="L292" s="2"/>
      <c r="M292" s="2"/>
      <c r="N292" s="2"/>
      <c r="O292" s="2" t="n">
        <v>113645</v>
      </c>
      <c r="P292" s="2"/>
      <c r="Q292" s="2" t="s">
        <v>2023</v>
      </c>
      <c r="R292" s="2" t="s">
        <v>2024</v>
      </c>
      <c r="S292" s="2" t="s">
        <v>77</v>
      </c>
      <c r="T292" s="2" t="s">
        <v>77</v>
      </c>
      <c r="U292" s="2" t="s">
        <v>77</v>
      </c>
      <c r="V292" s="2" t="s">
        <v>54</v>
      </c>
      <c r="W292" s="2" t="n">
        <v>36.5</v>
      </c>
      <c r="X292" s="2" t="n">
        <v>0</v>
      </c>
      <c r="Y292" s="2" t="s">
        <v>248</v>
      </c>
      <c r="Z292" s="2" t="s">
        <v>2025</v>
      </c>
      <c r="AA292" s="2" t="n">
        <v>3.38619709006494</v>
      </c>
      <c r="AB292" s="2" t="n">
        <v>1.07760840047258</v>
      </c>
      <c r="AC292" s="2" t="n">
        <v>90165.9332572965</v>
      </c>
      <c r="AD292" s="2" t="n">
        <v>253486.290962168</v>
      </c>
      <c r="AE292" s="3" t="n">
        <v>0.355703390960711</v>
      </c>
      <c r="AF292" s="3" t="n">
        <v>-1.49125336704683</v>
      </c>
      <c r="AG292" s="3" t="s">
        <v>57</v>
      </c>
      <c r="AH292" s="2" t="n">
        <v>0.0288149400393571</v>
      </c>
      <c r="AI292" s="2" t="n">
        <v>0.0738782164646171</v>
      </c>
      <c r="AJ292" s="2" t="n">
        <v>53743.8053479053</v>
      </c>
      <c r="AK292" s="2" t="n">
        <v>164471.64178983</v>
      </c>
      <c r="AL292" s="2" t="n">
        <v>135477.679676165</v>
      </c>
      <c r="AM292" s="2" t="n">
        <v>91161.627822324</v>
      </c>
      <c r="AN292" s="2" t="n">
        <v>5974.91165025826</v>
      </c>
      <c r="AO292" s="2" t="n">
        <v>135928.02357869</v>
      </c>
      <c r="AP292" s="2" t="n">
        <v>220708.866568251</v>
      </c>
      <c r="AQ292" s="2" t="n">
        <v>293112.597719647</v>
      </c>
      <c r="AR292" s="2" t="n">
        <v>173148.638310388</v>
      </c>
      <c r="AS292" s="2" t="n">
        <v>444533.328633862</v>
      </c>
    </row>
    <row r="293">
      <c r="A293" s="2" t="s">
        <v>2026</v>
      </c>
      <c r="B293" s="2" t="n">
        <v>145.04977195537</v>
      </c>
      <c r="C293" s="2" t="n">
        <v>1.68068333333333</v>
      </c>
      <c r="D293" s="2" t="s">
        <v>59</v>
      </c>
      <c r="E293" s="2" t="s">
        <v>2027</v>
      </c>
      <c r="F293" s="2" t="n">
        <v>54171</v>
      </c>
      <c r="G293" s="5" t="str">
        <f>HYPERLINK("http://funmeta.oebiotech.com/network/54171", "http://funmeta.oebiotech.com/network/54171")</f>
      </c>
      <c r="H293" s="2" t="s">
        <v>2028</v>
      </c>
      <c r="I293" s="2" t="n">
        <v>86062</v>
      </c>
      <c r="J293" s="2"/>
      <c r="K293" s="2" t="n">
        <v>173603</v>
      </c>
      <c r="L293" s="2"/>
      <c r="M293" s="2"/>
      <c r="N293" s="2"/>
      <c r="O293" s="2" t="n">
        <v>194109</v>
      </c>
      <c r="P293" s="2" t="s">
        <v>2029</v>
      </c>
      <c r="Q293" s="2" t="s">
        <v>2030</v>
      </c>
      <c r="R293" s="2" t="s">
        <v>2031</v>
      </c>
      <c r="S293" s="2" t="s">
        <v>51</v>
      </c>
      <c r="T293" s="2" t="s">
        <v>2032</v>
      </c>
      <c r="U293" s="2" t="s">
        <v>2033</v>
      </c>
      <c r="V293" s="2" t="s">
        <v>54</v>
      </c>
      <c r="W293" s="2" t="n">
        <v>41.7</v>
      </c>
      <c r="X293" s="2" t="n">
        <v>13</v>
      </c>
      <c r="Y293" s="2" t="s">
        <v>304</v>
      </c>
      <c r="Z293" s="2" t="s">
        <v>2034</v>
      </c>
      <c r="AA293" s="2" t="n">
        <v>1.64388264915237</v>
      </c>
      <c r="AB293" s="2" t="n">
        <v>1.07631101290616</v>
      </c>
      <c r="AC293" s="2" t="n">
        <v>212249.165759743</v>
      </c>
      <c r="AD293" s="2" t="n">
        <v>39630.0315357352</v>
      </c>
      <c r="AE293" s="4" t="n">
        <v>5.35576575477497</v>
      </c>
      <c r="AF293" s="4" t="n">
        <v>2.42109286286261</v>
      </c>
      <c r="AG293" s="4" t="s">
        <v>72</v>
      </c>
      <c r="AH293" s="2" t="n">
        <v>0.0358214646857723</v>
      </c>
      <c r="AI293" s="2" t="n">
        <v>0.085261487838597</v>
      </c>
      <c r="AJ293" s="2" t="n">
        <v>319696.279730298</v>
      </c>
      <c r="AK293" s="2" t="n">
        <v>52295.7010244277</v>
      </c>
      <c r="AL293" s="2" t="n">
        <v>68111.3642573336</v>
      </c>
      <c r="AM293" s="2" t="n">
        <v>220274.455558232</v>
      </c>
      <c r="AN293" s="2" t="n">
        <v>400868.028228422</v>
      </c>
      <c r="AO293" s="2" t="n">
        <v>40878.7916726569</v>
      </c>
      <c r="AP293" s="2" t="n">
        <v>43323.5584165374</v>
      </c>
      <c r="AQ293" s="2" t="n">
        <v>30143.8032274783</v>
      </c>
      <c r="AR293" s="2" t="n">
        <v>31944.4072907778</v>
      </c>
      <c r="AS293" s="2" t="n">
        <v>51859.5970712255</v>
      </c>
    </row>
    <row r="294">
      <c r="A294" s="2" t="s">
        <v>2035</v>
      </c>
      <c r="B294" s="2" t="n">
        <v>253.11861083666</v>
      </c>
      <c r="C294" s="2" t="n">
        <v>3.50083333333333</v>
      </c>
      <c r="D294" s="2" t="s">
        <v>59</v>
      </c>
      <c r="E294" s="2" t="s">
        <v>2036</v>
      </c>
      <c r="F294" s="2" t="n">
        <v>54057</v>
      </c>
      <c r="G294" s="5" t="str">
        <f>HYPERLINK("http://funmeta.oebiotech.com/network/54057", "http://funmeta.oebiotech.com/network/54057")</f>
      </c>
      <c r="H294" s="2" t="s">
        <v>2037</v>
      </c>
      <c r="I294" s="2" t="n">
        <v>23895</v>
      </c>
      <c r="J294" s="2"/>
      <c r="K294" s="2" t="n">
        <v>71029</v>
      </c>
      <c r="L294" s="2"/>
      <c r="M294" s="2"/>
      <c r="N294" s="2"/>
      <c r="O294" s="2" t="n">
        <v>7009597</v>
      </c>
      <c r="P294" s="2" t="s">
        <v>2038</v>
      </c>
      <c r="Q294" s="2" t="s">
        <v>2039</v>
      </c>
      <c r="R294" s="2" t="s">
        <v>2040</v>
      </c>
      <c r="S294" s="2" t="s">
        <v>110</v>
      </c>
      <c r="T294" s="2" t="s">
        <v>111</v>
      </c>
      <c r="U294" s="2" t="s">
        <v>112</v>
      </c>
      <c r="V294" s="2" t="s">
        <v>92</v>
      </c>
      <c r="W294" s="2" t="n">
        <v>66.6</v>
      </c>
      <c r="X294" s="2" t="n">
        <v>97.7</v>
      </c>
      <c r="Y294" s="2" t="s">
        <v>332</v>
      </c>
      <c r="Z294" s="2" t="s">
        <v>1707</v>
      </c>
      <c r="AA294" s="2" t="n">
        <v>1.29864897272349</v>
      </c>
      <c r="AB294" s="2" t="n">
        <v>1.0746835445771</v>
      </c>
      <c r="AC294" s="2" t="n">
        <v>100268.161478238</v>
      </c>
      <c r="AD294" s="2" t="n">
        <v>255322.752053466</v>
      </c>
      <c r="AE294" s="3" t="n">
        <v>0.392711423763917</v>
      </c>
      <c r="AF294" s="3" t="n">
        <v>-1.34845852905052</v>
      </c>
      <c r="AG294" s="3" t="s">
        <v>57</v>
      </c>
      <c r="AH294" s="2" t="n">
        <v>0.0101349934811414</v>
      </c>
      <c r="AI294" s="2" t="n">
        <v>0.036214062072859</v>
      </c>
      <c r="AJ294" s="2" t="n">
        <v>110182.006439879</v>
      </c>
      <c r="AK294" s="2" t="n">
        <v>144595.458088543</v>
      </c>
      <c r="AL294" s="2" t="n">
        <v>131729.027702893</v>
      </c>
      <c r="AM294" s="2" t="n">
        <v>79050.0406563655</v>
      </c>
      <c r="AN294" s="2" t="n">
        <v>35784.2745035104</v>
      </c>
      <c r="AO294" s="2" t="n">
        <v>154961.37596639</v>
      </c>
      <c r="AP294" s="2" t="n">
        <v>226926.108456218</v>
      </c>
      <c r="AQ294" s="2" t="n">
        <v>300587.734184196</v>
      </c>
      <c r="AR294" s="2" t="n">
        <v>199948.99254652</v>
      </c>
      <c r="AS294" s="2" t="n">
        <v>394189.549114006</v>
      </c>
    </row>
    <row r="295">
      <c r="A295" s="2" t="s">
        <v>2041</v>
      </c>
      <c r="B295" s="2" t="n">
        <v>336.122682805977</v>
      </c>
      <c r="C295" s="2" t="n">
        <v>1.71861666666667</v>
      </c>
      <c r="D295" s="2" t="s">
        <v>59</v>
      </c>
      <c r="E295" s="2" t="s">
        <v>2042</v>
      </c>
      <c r="F295" s="2" t="n">
        <v>261768</v>
      </c>
      <c r="G295" s="5" t="str">
        <f>HYPERLINK("http://funmeta.oebiotech.com/network/261768", "http://funmeta.oebiotech.com/network/261768")</f>
      </c>
      <c r="H295" s="2"/>
      <c r="I295" s="2" t="n">
        <v>19097</v>
      </c>
      <c r="J295" s="2"/>
      <c r="K295" s="2"/>
      <c r="L295" s="2"/>
      <c r="M295" s="2"/>
      <c r="N295" s="2"/>
      <c r="O295" s="2" t="n">
        <v>145455620</v>
      </c>
      <c r="P295" s="2"/>
      <c r="Q295" s="2" t="s">
        <v>2043</v>
      </c>
      <c r="R295" s="2" t="s">
        <v>2044</v>
      </c>
      <c r="S295" s="2" t="s">
        <v>77</v>
      </c>
      <c r="T295" s="2" t="s">
        <v>77</v>
      </c>
      <c r="U295" s="2" t="s">
        <v>77</v>
      </c>
      <c r="V295" s="2" t="s">
        <v>92</v>
      </c>
      <c r="W295" s="2" t="n">
        <v>54.3</v>
      </c>
      <c r="X295" s="2" t="n">
        <v>63.5</v>
      </c>
      <c r="Y295" s="2" t="s">
        <v>332</v>
      </c>
      <c r="Z295" s="2" t="s">
        <v>2045</v>
      </c>
      <c r="AA295" s="2" t="n">
        <v>0.895121530217858</v>
      </c>
      <c r="AB295" s="2" t="n">
        <v>1.07358327420393</v>
      </c>
      <c r="AC295" s="2" t="n">
        <v>37336.9009238246</v>
      </c>
      <c r="AD295" s="2" t="n">
        <v>157837.57311988</v>
      </c>
      <c r="AE295" s="3" t="n">
        <v>0.236552679984928</v>
      </c>
      <c r="AF295" s="3" t="n">
        <v>-2.07976658916751</v>
      </c>
      <c r="AG295" s="3" t="s">
        <v>57</v>
      </c>
      <c r="AH295" s="2" t="n">
        <v>0.0000253340536376518</v>
      </c>
      <c r="AI295" s="2" t="n">
        <v>0.000681289626455021</v>
      </c>
      <c r="AJ295" s="2" t="n">
        <v>29130.5366167789</v>
      </c>
      <c r="AK295" s="2" t="n">
        <v>50094.8929500754</v>
      </c>
      <c r="AL295" s="2" t="n">
        <v>65156.997975312</v>
      </c>
      <c r="AM295" s="2" t="n">
        <v>40137.2698164808</v>
      </c>
      <c r="AN295" s="2" t="n">
        <v>2164.80726047603</v>
      </c>
      <c r="AO295" s="2" t="n">
        <v>151781.03102656</v>
      </c>
      <c r="AP295" s="2" t="n">
        <v>157040.255548084</v>
      </c>
      <c r="AQ295" s="2" t="n">
        <v>171210.118391086</v>
      </c>
      <c r="AR295" s="2" t="n">
        <v>127947.261393657</v>
      </c>
      <c r="AS295" s="2" t="n">
        <v>181209.199240014</v>
      </c>
    </row>
    <row r="296">
      <c r="A296" s="2" t="s">
        <v>2046</v>
      </c>
      <c r="B296" s="2" t="n">
        <v>464.314382899087</v>
      </c>
      <c r="C296" s="2" t="n">
        <v>11.86755</v>
      </c>
      <c r="D296" s="2" t="s">
        <v>46</v>
      </c>
      <c r="E296" s="2" t="s">
        <v>2047</v>
      </c>
      <c r="F296" s="2" t="n">
        <v>21239</v>
      </c>
      <c r="G296" s="5" t="str">
        <f>HYPERLINK("http://funmeta.oebiotech.com/network/21239", "http://funmeta.oebiotech.com/network/21239")</f>
      </c>
      <c r="H296" s="2"/>
      <c r="I296" s="2" t="n">
        <v>46718</v>
      </c>
      <c r="J296" s="2" t="s">
        <v>2048</v>
      </c>
      <c r="K296" s="2" t="n">
        <v>137157</v>
      </c>
      <c r="L296" s="2"/>
      <c r="M296" s="2"/>
      <c r="N296" s="2"/>
      <c r="O296" s="2" t="n">
        <v>42607468</v>
      </c>
      <c r="P296" s="2"/>
      <c r="Q296" s="2" t="s">
        <v>2049</v>
      </c>
      <c r="R296" s="2" t="s">
        <v>2050</v>
      </c>
      <c r="S296" s="2" t="s">
        <v>66</v>
      </c>
      <c r="T296" s="2" t="s">
        <v>129</v>
      </c>
      <c r="U296" s="2" t="s">
        <v>1477</v>
      </c>
      <c r="V296" s="2" t="s">
        <v>92</v>
      </c>
      <c r="W296" s="2" t="n">
        <v>57.5</v>
      </c>
      <c r="X296" s="2" t="n">
        <v>49.3</v>
      </c>
      <c r="Y296" s="2" t="s">
        <v>290</v>
      </c>
      <c r="Z296" s="2" t="s">
        <v>2051</v>
      </c>
      <c r="AA296" s="2" t="n">
        <v>-0.570702602402355</v>
      </c>
      <c r="AB296" s="2" t="n">
        <v>1.07266150964344</v>
      </c>
      <c r="AC296" s="2" t="n">
        <v>187454.609064985</v>
      </c>
      <c r="AD296" s="2" t="n">
        <v>31571.2159243061</v>
      </c>
      <c r="AE296" s="4" t="n">
        <v>5.93751629694653</v>
      </c>
      <c r="AF296" s="4" t="n">
        <v>2.56985956816112</v>
      </c>
      <c r="AG296" s="4" t="s">
        <v>72</v>
      </c>
      <c r="AH296" s="2" t="n">
        <v>0.0236408686347999</v>
      </c>
      <c r="AI296" s="2" t="n">
        <v>0.0643752277880703</v>
      </c>
      <c r="AJ296" s="2" t="n">
        <v>320543.571018178</v>
      </c>
      <c r="AK296" s="2" t="n">
        <v>87051.3530699109</v>
      </c>
      <c r="AL296" s="2" t="n">
        <v>126404.778872274</v>
      </c>
      <c r="AM296" s="2" t="n">
        <v>88421.5953374999</v>
      </c>
      <c r="AN296" s="2" t="n">
        <v>314851.747027063</v>
      </c>
      <c r="AO296" s="2" t="n">
        <v>22349.542141969</v>
      </c>
      <c r="AP296" s="2" t="n">
        <v>28855.8830203211</v>
      </c>
      <c r="AQ296" s="2" t="n">
        <v>92016.6374067602</v>
      </c>
      <c r="AR296" s="2" t="n">
        <v>12557.261694697</v>
      </c>
      <c r="AS296" s="2" t="n">
        <v>2076.75535778312</v>
      </c>
    </row>
    <row r="297">
      <c r="A297" s="2" t="s">
        <v>2052</v>
      </c>
      <c r="B297" s="2" t="n">
        <v>609.325023540848</v>
      </c>
      <c r="C297" s="2" t="n">
        <v>7.53165</v>
      </c>
      <c r="D297" s="2" t="s">
        <v>46</v>
      </c>
      <c r="E297" s="2" t="s">
        <v>2053</v>
      </c>
      <c r="F297" s="2" t="n">
        <v>45112</v>
      </c>
      <c r="G297" s="5" t="str">
        <f>HYPERLINK("http://funmeta.oebiotech.com/network/45112", "http://funmeta.oebiotech.com/network/45112")</f>
      </c>
      <c r="H297" s="2"/>
      <c r="I297" s="2"/>
      <c r="J297" s="2" t="s">
        <v>2054</v>
      </c>
      <c r="K297" s="2"/>
      <c r="L297" s="2"/>
      <c r="M297" s="2"/>
      <c r="N297" s="2"/>
      <c r="O297" s="2"/>
      <c r="P297" s="2"/>
      <c r="Q297" s="2" t="s">
        <v>2055</v>
      </c>
      <c r="R297" s="2" t="s">
        <v>2056</v>
      </c>
      <c r="S297" s="2" t="s">
        <v>77</v>
      </c>
      <c r="T297" s="2" t="s">
        <v>77</v>
      </c>
      <c r="U297" s="2" t="s">
        <v>77</v>
      </c>
      <c r="V297" s="2" t="s">
        <v>54</v>
      </c>
      <c r="W297" s="2" t="n">
        <v>36.2</v>
      </c>
      <c r="X297" s="2" t="n">
        <v>0</v>
      </c>
      <c r="Y297" s="2" t="s">
        <v>290</v>
      </c>
      <c r="Z297" s="2" t="s">
        <v>2057</v>
      </c>
      <c r="AA297" s="2" t="n">
        <v>-4.93572262758502</v>
      </c>
      <c r="AB297" s="2" t="n">
        <v>1.06888379737842</v>
      </c>
      <c r="AC297" s="2" t="n">
        <v>493.689602901297</v>
      </c>
      <c r="AD297" s="2" t="n">
        <v>138987.560267724</v>
      </c>
      <c r="AE297" s="3" t="n">
        <v>0.00355204164998888</v>
      </c>
      <c r="AF297" s="3" t="n">
        <v>-8.13713578634115</v>
      </c>
      <c r="AG297" s="3" t="s">
        <v>57</v>
      </c>
      <c r="AH297" s="2" t="n">
        <v>0.0227630354065055</v>
      </c>
      <c r="AI297" s="2" t="n">
        <v>0.0627133932685106</v>
      </c>
      <c r="AJ297" s="2" t="n">
        <v>0.00000136409140715624</v>
      </c>
      <c r="AK297" s="2" t="n">
        <v>0.00000136409140715624</v>
      </c>
      <c r="AL297" s="2" t="n">
        <v>0.00000136409140715624</v>
      </c>
      <c r="AM297" s="2" t="n">
        <v>2468.44800905012</v>
      </c>
      <c r="AN297" s="2" t="n">
        <v>0.00000136409140715624</v>
      </c>
      <c r="AO297" s="2" t="n">
        <v>165285.953749912</v>
      </c>
      <c r="AP297" s="2" t="n">
        <v>62866.6695529211</v>
      </c>
      <c r="AQ297" s="2" t="n">
        <v>150291.991721234</v>
      </c>
      <c r="AR297" s="2" t="n">
        <v>14818.5686657877</v>
      </c>
      <c r="AS297" s="2" t="n">
        <v>301674.617648767</v>
      </c>
    </row>
    <row r="298">
      <c r="A298" s="2" t="s">
        <v>2058</v>
      </c>
      <c r="B298" s="2" t="n">
        <v>394.19729029531</v>
      </c>
      <c r="C298" s="2" t="n">
        <v>4.69258333333333</v>
      </c>
      <c r="D298" s="2" t="s">
        <v>59</v>
      </c>
      <c r="E298" s="2" t="s">
        <v>2059</v>
      </c>
      <c r="F298" s="2" t="n">
        <v>263978</v>
      </c>
      <c r="G298" s="5" t="str">
        <f>HYPERLINK("http://funmeta.oebiotech.com/network/263978", "http://funmeta.oebiotech.com/network/263978")</f>
      </c>
      <c r="H298" s="2"/>
      <c r="I298" s="2" t="n">
        <v>21416</v>
      </c>
      <c r="J298" s="2"/>
      <c r="K298" s="2"/>
      <c r="L298" s="2"/>
      <c r="M298" s="2"/>
      <c r="N298" s="2"/>
      <c r="O298" s="2" t="n">
        <v>10200582</v>
      </c>
      <c r="P298" s="2"/>
      <c r="Q298" s="2" t="s">
        <v>2060</v>
      </c>
      <c r="R298" s="2" t="s">
        <v>2061</v>
      </c>
      <c r="S298" s="2" t="s">
        <v>110</v>
      </c>
      <c r="T298" s="2" t="s">
        <v>111</v>
      </c>
      <c r="U298" s="2" t="s">
        <v>112</v>
      </c>
      <c r="V298" s="2" t="s">
        <v>92</v>
      </c>
      <c r="W298" s="2" t="n">
        <v>60.1</v>
      </c>
      <c r="X298" s="2" t="n">
        <v>58.7</v>
      </c>
      <c r="Y298" s="2" t="s">
        <v>248</v>
      </c>
      <c r="Z298" s="2" t="s">
        <v>2062</v>
      </c>
      <c r="AA298" s="2" t="n">
        <v>0.0718880475373069</v>
      </c>
      <c r="AB298" s="2" t="n">
        <v>1.06804948781836</v>
      </c>
      <c r="AC298" s="2" t="n">
        <v>55410.0392656248</v>
      </c>
      <c r="AD298" s="2" t="n">
        <v>175410.75490087</v>
      </c>
      <c r="AE298" s="3" t="n">
        <v>0.315887354210058</v>
      </c>
      <c r="AF298" s="3" t="n">
        <v>-1.66251791147023</v>
      </c>
      <c r="AG298" s="3" t="s">
        <v>57</v>
      </c>
      <c r="AH298" s="2" t="n">
        <v>0.000589129094864543</v>
      </c>
      <c r="AI298" s="2" t="n">
        <v>0.00461536964693345</v>
      </c>
      <c r="AJ298" s="2" t="n">
        <v>31345.5138153209</v>
      </c>
      <c r="AK298" s="2" t="n">
        <v>69964.2066617135</v>
      </c>
      <c r="AL298" s="2" t="n">
        <v>111514.886838233</v>
      </c>
      <c r="AM298" s="2" t="n">
        <v>46724.1075560214</v>
      </c>
      <c r="AN298" s="2" t="n">
        <v>17501.4814568352</v>
      </c>
      <c r="AO298" s="2" t="n">
        <v>202568.083177643</v>
      </c>
      <c r="AP298" s="2" t="n">
        <v>134833.065480305</v>
      </c>
      <c r="AQ298" s="2" t="n">
        <v>210680.16225677</v>
      </c>
      <c r="AR298" s="2" t="n">
        <v>152634.262897169</v>
      </c>
      <c r="AS298" s="2" t="n">
        <v>176338.200692464</v>
      </c>
    </row>
    <row r="299">
      <c r="A299" s="2" t="s">
        <v>2063</v>
      </c>
      <c r="B299" s="2" t="n">
        <v>175.107955850859</v>
      </c>
      <c r="C299" s="2" t="n">
        <v>1.05406666666667</v>
      </c>
      <c r="D299" s="2" t="s">
        <v>59</v>
      </c>
      <c r="E299" s="2" t="s">
        <v>2064</v>
      </c>
      <c r="F299" s="2" t="n">
        <v>58404</v>
      </c>
      <c r="G299" s="5" t="str">
        <f>HYPERLINK("http://funmeta.oebiotech.com/network/58404", "http://funmeta.oebiotech.com/network/58404")</f>
      </c>
      <c r="H299" s="2" t="s">
        <v>2065</v>
      </c>
      <c r="I299" s="2" t="n">
        <v>44433</v>
      </c>
      <c r="J299" s="2"/>
      <c r="K299" s="2" t="n">
        <v>17394</v>
      </c>
      <c r="L299" s="2" t="s">
        <v>2066</v>
      </c>
      <c r="M299" s="2"/>
      <c r="N299" s="2"/>
      <c r="O299" s="2" t="n">
        <v>439378</v>
      </c>
      <c r="P299" s="2" t="s">
        <v>2067</v>
      </c>
      <c r="Q299" s="2" t="s">
        <v>2068</v>
      </c>
      <c r="R299" s="2" t="s">
        <v>2069</v>
      </c>
      <c r="S299" s="2" t="s">
        <v>110</v>
      </c>
      <c r="T299" s="2" t="s">
        <v>111</v>
      </c>
      <c r="U299" s="2" t="s">
        <v>112</v>
      </c>
      <c r="V299" s="2" t="s">
        <v>122</v>
      </c>
      <c r="W299" s="2" t="n">
        <v>43.3</v>
      </c>
      <c r="X299" s="2" t="n">
        <v>5.06</v>
      </c>
      <c r="Y299" s="2" t="s">
        <v>248</v>
      </c>
      <c r="Z299" s="2" t="s">
        <v>2070</v>
      </c>
      <c r="AA299" s="2" t="n">
        <v>1.36186672563702</v>
      </c>
      <c r="AB299" s="2" t="n">
        <v>1.06749662164867</v>
      </c>
      <c r="AC299" s="2" t="n">
        <v>169075.328891977</v>
      </c>
      <c r="AD299" s="2" t="n">
        <v>331989.196452181</v>
      </c>
      <c r="AE299" s="3" t="n">
        <v>0.509279611200631</v>
      </c>
      <c r="AF299" s="3" t="n">
        <v>-0.973470134197246</v>
      </c>
      <c r="AG299" s="3" t="s">
        <v>57</v>
      </c>
      <c r="AH299" s="2" t="n">
        <v>0.0252020971206745</v>
      </c>
      <c r="AI299" s="2" t="n">
        <v>0.0675401568573657</v>
      </c>
      <c r="AJ299" s="2" t="n">
        <v>157863.442276906</v>
      </c>
      <c r="AK299" s="2" t="n">
        <v>255340.98351685</v>
      </c>
      <c r="AL299" s="2" t="n">
        <v>230904.470793555</v>
      </c>
      <c r="AM299" s="2" t="n">
        <v>155543.061617333</v>
      </c>
      <c r="AN299" s="2" t="n">
        <v>45724.68625524</v>
      </c>
      <c r="AO299" s="2" t="n">
        <v>227674.910059512</v>
      </c>
      <c r="AP299" s="2" t="n">
        <v>300882.509512789</v>
      </c>
      <c r="AQ299" s="2" t="n">
        <v>412824.050666386</v>
      </c>
      <c r="AR299" s="2" t="n">
        <v>250384.475005246</v>
      </c>
      <c r="AS299" s="2" t="n">
        <v>468180.037016974</v>
      </c>
    </row>
    <row r="300">
      <c r="A300" s="2" t="s">
        <v>2071</v>
      </c>
      <c r="B300" s="2" t="n">
        <v>357.213495157586</v>
      </c>
      <c r="C300" s="2" t="n">
        <v>3.96693333333333</v>
      </c>
      <c r="D300" s="2" t="s">
        <v>59</v>
      </c>
      <c r="E300" s="2" t="s">
        <v>2072</v>
      </c>
      <c r="F300" s="2" t="n">
        <v>266019</v>
      </c>
      <c r="G300" s="5" t="str">
        <f>HYPERLINK("http://funmeta.oebiotech.com/network/266019", "http://funmeta.oebiotech.com/network/266019")</f>
      </c>
      <c r="H300" s="2"/>
      <c r="I300" s="2" t="n">
        <v>23541</v>
      </c>
      <c r="J300" s="2"/>
      <c r="K300" s="2"/>
      <c r="L300" s="2"/>
      <c r="M300" s="2"/>
      <c r="N300" s="2"/>
      <c r="O300" s="2" t="n">
        <v>145455189</v>
      </c>
      <c r="P300" s="2"/>
      <c r="Q300" s="2" t="s">
        <v>2073</v>
      </c>
      <c r="R300" s="2" t="s">
        <v>2074</v>
      </c>
      <c r="S300" s="2" t="s">
        <v>110</v>
      </c>
      <c r="T300" s="2" t="s">
        <v>111</v>
      </c>
      <c r="U300" s="2" t="s">
        <v>112</v>
      </c>
      <c r="V300" s="2" t="s">
        <v>92</v>
      </c>
      <c r="W300" s="2" t="n">
        <v>60.7</v>
      </c>
      <c r="X300" s="2" t="n">
        <v>73.6</v>
      </c>
      <c r="Y300" s="2" t="s">
        <v>248</v>
      </c>
      <c r="Z300" s="2" t="s">
        <v>2075</v>
      </c>
      <c r="AA300" s="2" t="n">
        <v>0.698221386747453</v>
      </c>
      <c r="AB300" s="2" t="n">
        <v>1.06718782226005</v>
      </c>
      <c r="AC300" s="2" t="n">
        <v>60640.0546625792</v>
      </c>
      <c r="AD300" s="2" t="n">
        <v>185367.097495295</v>
      </c>
      <c r="AE300" s="3" t="n">
        <v>0.32713494186377</v>
      </c>
      <c r="AF300" s="3" t="n">
        <v>-1.61204223041846</v>
      </c>
      <c r="AG300" s="3" t="s">
        <v>57</v>
      </c>
      <c r="AH300" s="2" t="n">
        <v>0.000420056833614342</v>
      </c>
      <c r="AI300" s="2" t="n">
        <v>0.00371271952485678</v>
      </c>
      <c r="AJ300" s="2" t="n">
        <v>29113.3363575876</v>
      </c>
      <c r="AK300" s="2" t="n">
        <v>83470.3289944216</v>
      </c>
      <c r="AL300" s="2" t="n">
        <v>102634.822821084</v>
      </c>
      <c r="AM300" s="2" t="n">
        <v>82286.9443883828</v>
      </c>
      <c r="AN300" s="2" t="n">
        <v>5694.84075141976</v>
      </c>
      <c r="AO300" s="2" t="n">
        <v>190059.547918214</v>
      </c>
      <c r="AP300" s="2" t="n">
        <v>164251.963813694</v>
      </c>
      <c r="AQ300" s="2" t="n">
        <v>224565.007793728</v>
      </c>
      <c r="AR300" s="2" t="n">
        <v>186642.051023364</v>
      </c>
      <c r="AS300" s="2" t="n">
        <v>161316.916927477</v>
      </c>
    </row>
    <row r="301">
      <c r="A301" s="2" t="s">
        <v>2076</v>
      </c>
      <c r="B301" s="2" t="n">
        <v>237.08877354918</v>
      </c>
      <c r="C301" s="2" t="n">
        <v>1.62996666666667</v>
      </c>
      <c r="D301" s="2" t="s">
        <v>46</v>
      </c>
      <c r="E301" s="2" t="s">
        <v>2077</v>
      </c>
      <c r="F301" s="2" t="n">
        <v>201264</v>
      </c>
      <c r="G301" s="5" t="str">
        <f>HYPERLINK("http://funmeta.oebiotech.com/network/201264", "http://funmeta.oebiotech.com/network/201264")</f>
      </c>
      <c r="H301" s="2" t="s">
        <v>2078</v>
      </c>
      <c r="I301" s="2"/>
      <c r="J301" s="2"/>
      <c r="K301" s="2"/>
      <c r="L301" s="2"/>
      <c r="M301" s="2"/>
      <c r="N301" s="2"/>
      <c r="O301" s="2" t="n">
        <v>74426088</v>
      </c>
      <c r="P301" s="2"/>
      <c r="Q301" s="2" t="s">
        <v>2079</v>
      </c>
      <c r="R301" s="2" t="s">
        <v>2080</v>
      </c>
      <c r="S301" s="2" t="s">
        <v>51</v>
      </c>
      <c r="T301" s="2" t="s">
        <v>2081</v>
      </c>
      <c r="U301" s="2" t="s">
        <v>77</v>
      </c>
      <c r="V301" s="2" t="s">
        <v>122</v>
      </c>
      <c r="W301" s="2" t="n">
        <v>42.9</v>
      </c>
      <c r="X301" s="2" t="n">
        <v>0</v>
      </c>
      <c r="Y301" s="2" t="s">
        <v>131</v>
      </c>
      <c r="Z301" s="2" t="s">
        <v>2082</v>
      </c>
      <c r="AA301" s="2" t="n">
        <v>3.60792369074657</v>
      </c>
      <c r="AB301" s="2" t="n">
        <v>1.06564640369404</v>
      </c>
      <c r="AC301" s="2" t="n">
        <v>98809.1212287748</v>
      </c>
      <c r="AD301" s="2" t="n">
        <v>237453.934140726</v>
      </c>
      <c r="AE301" s="3" t="n">
        <v>0.416119116267056</v>
      </c>
      <c r="AF301" s="3" t="n">
        <v>-1.26493152842204</v>
      </c>
      <c r="AG301" s="3" t="s">
        <v>57</v>
      </c>
      <c r="AH301" s="2" t="n">
        <v>0.00119806167479639</v>
      </c>
      <c r="AI301" s="2" t="n">
        <v>0.00764775753192468</v>
      </c>
      <c r="AJ301" s="2" t="n">
        <v>79808.6224963704</v>
      </c>
      <c r="AK301" s="2" t="n">
        <v>131670.361062008</v>
      </c>
      <c r="AL301" s="2" t="n">
        <v>169638.256735261</v>
      </c>
      <c r="AM301" s="2" t="n">
        <v>100000.477686911</v>
      </c>
      <c r="AN301" s="2" t="n">
        <v>12927.8881633234</v>
      </c>
      <c r="AO301" s="2" t="n">
        <v>205599.248630821</v>
      </c>
      <c r="AP301" s="2" t="n">
        <v>234583.690443759</v>
      </c>
      <c r="AQ301" s="2" t="n">
        <v>232341.2165613</v>
      </c>
      <c r="AR301" s="2" t="n">
        <v>244082.068209836</v>
      </c>
      <c r="AS301" s="2" t="n">
        <v>270663.446857916</v>
      </c>
    </row>
    <row r="302">
      <c r="A302" s="2" t="s">
        <v>2083</v>
      </c>
      <c r="B302" s="2" t="n">
        <v>233.149716641089</v>
      </c>
      <c r="C302" s="2" t="n">
        <v>2.06415</v>
      </c>
      <c r="D302" s="2" t="s">
        <v>59</v>
      </c>
      <c r="E302" s="2" t="s">
        <v>2084</v>
      </c>
      <c r="F302" s="2" t="n">
        <v>115519</v>
      </c>
      <c r="G302" s="5" t="str">
        <f>HYPERLINK("http://funmeta.oebiotech.com/network/115519", "http://funmeta.oebiotech.com/network/115519")</f>
      </c>
      <c r="H302" s="2" t="s">
        <v>2085</v>
      </c>
      <c r="I302" s="2"/>
      <c r="J302" s="2"/>
      <c r="K302" s="2"/>
      <c r="L302" s="2"/>
      <c r="M302" s="2"/>
      <c r="N302" s="2"/>
      <c r="O302" s="2"/>
      <c r="P302" s="2"/>
      <c r="Q302" s="2" t="s">
        <v>2086</v>
      </c>
      <c r="R302" s="2" t="s">
        <v>2087</v>
      </c>
      <c r="S302" s="2" t="s">
        <v>110</v>
      </c>
      <c r="T302" s="2" t="s">
        <v>111</v>
      </c>
      <c r="U302" s="2" t="s">
        <v>112</v>
      </c>
      <c r="V302" s="2" t="s">
        <v>54</v>
      </c>
      <c r="W302" s="2" t="n">
        <v>47.5</v>
      </c>
      <c r="X302" s="2" t="n">
        <v>42.1</v>
      </c>
      <c r="Y302" s="2" t="s">
        <v>70</v>
      </c>
      <c r="Z302" s="2" t="s">
        <v>2088</v>
      </c>
      <c r="AA302" s="2" t="n">
        <v>0.618656950500617</v>
      </c>
      <c r="AB302" s="2" t="n">
        <v>1.06439703228142</v>
      </c>
      <c r="AC302" s="2" t="n">
        <v>24692.3513040329</v>
      </c>
      <c r="AD302" s="2" t="n">
        <v>155141.078490513</v>
      </c>
      <c r="AE302" s="3" t="n">
        <v>0.159160626858366</v>
      </c>
      <c r="AF302" s="3" t="n">
        <v>-2.65144460863906</v>
      </c>
      <c r="AG302" s="3" t="s">
        <v>57</v>
      </c>
      <c r="AH302" s="2" t="n">
        <v>0.00355409554784911</v>
      </c>
      <c r="AI302" s="2" t="n">
        <v>0.0171274670315755</v>
      </c>
      <c r="AJ302" s="2" t="n">
        <v>22332.9836675289</v>
      </c>
      <c r="AK302" s="2" t="n">
        <v>33016.6265379156</v>
      </c>
      <c r="AL302" s="2" t="n">
        <v>45042.0368121365</v>
      </c>
      <c r="AM302" s="2" t="n">
        <v>11690.7468570997</v>
      </c>
      <c r="AN302" s="2" t="n">
        <v>11379.3626454839</v>
      </c>
      <c r="AO302" s="2" t="n">
        <v>113790.927109164</v>
      </c>
      <c r="AP302" s="2" t="n">
        <v>113525.006746623</v>
      </c>
      <c r="AQ302" s="2" t="n">
        <v>191945.145230114</v>
      </c>
      <c r="AR302" s="2" t="n">
        <v>95189.2273512689</v>
      </c>
      <c r="AS302" s="2" t="n">
        <v>261255.086015393</v>
      </c>
    </row>
    <row r="303">
      <c r="A303" s="2" t="s">
        <v>2089</v>
      </c>
      <c r="B303" s="2" t="n">
        <v>227.139589196455</v>
      </c>
      <c r="C303" s="2" t="n">
        <v>3.48663333333333</v>
      </c>
      <c r="D303" s="2" t="s">
        <v>46</v>
      </c>
      <c r="E303" s="2" t="s">
        <v>2090</v>
      </c>
      <c r="F303" s="2" t="n">
        <v>51192</v>
      </c>
      <c r="G303" s="5" t="str">
        <f>HYPERLINK("http://funmeta.oebiotech.com/network/51192", "http://funmeta.oebiotech.com/network/51192")</f>
      </c>
      <c r="H303" s="2" t="s">
        <v>2091</v>
      </c>
      <c r="I303" s="2" t="n">
        <v>23858</v>
      </c>
      <c r="J303" s="2"/>
      <c r="K303" s="2" t="n">
        <v>74076</v>
      </c>
      <c r="L303" s="2"/>
      <c r="M303" s="2"/>
      <c r="N303" s="2"/>
      <c r="O303" s="2" t="n">
        <v>444876</v>
      </c>
      <c r="P303" s="2" t="s">
        <v>2092</v>
      </c>
      <c r="Q303" s="2" t="s">
        <v>2093</v>
      </c>
      <c r="R303" s="2" t="s">
        <v>2094</v>
      </c>
      <c r="S303" s="2" t="s">
        <v>110</v>
      </c>
      <c r="T303" s="2" t="s">
        <v>111</v>
      </c>
      <c r="U303" s="2" t="s">
        <v>112</v>
      </c>
      <c r="V303" s="2" t="s">
        <v>92</v>
      </c>
      <c r="W303" s="2" t="n">
        <v>51.8</v>
      </c>
      <c r="X303" s="2" t="n">
        <v>57.9</v>
      </c>
      <c r="Y303" s="2" t="s">
        <v>290</v>
      </c>
      <c r="Z303" s="2" t="s">
        <v>249</v>
      </c>
      <c r="AA303" s="2" t="n">
        <v>-2.30938964126116</v>
      </c>
      <c r="AB303" s="2" t="n">
        <v>1.06222975264144</v>
      </c>
      <c r="AC303" s="2" t="n">
        <v>97332.1358638697</v>
      </c>
      <c r="AD303" s="2" t="n">
        <v>256860.994797477</v>
      </c>
      <c r="AE303" s="3" t="n">
        <v>0.378929217885384</v>
      </c>
      <c r="AF303" s="3" t="n">
        <v>-1.39999970966414</v>
      </c>
      <c r="AG303" s="3" t="s">
        <v>57</v>
      </c>
      <c r="AH303" s="2" t="n">
        <v>0.0413387840367267</v>
      </c>
      <c r="AI303" s="2" t="n">
        <v>0.0934227822812258</v>
      </c>
      <c r="AJ303" s="2" t="n">
        <v>112830.921082423</v>
      </c>
      <c r="AK303" s="2" t="n">
        <v>106072.916044389</v>
      </c>
      <c r="AL303" s="2" t="n">
        <v>125481.164944378</v>
      </c>
      <c r="AM303" s="2" t="n">
        <v>108838.295987298</v>
      </c>
      <c r="AN303" s="2" t="n">
        <v>33437.3812608603</v>
      </c>
      <c r="AO303" s="2" t="n">
        <v>173097.578918738</v>
      </c>
      <c r="AP303" s="2" t="n">
        <v>151519.496035576</v>
      </c>
      <c r="AQ303" s="2" t="n">
        <v>481993.272358124</v>
      </c>
      <c r="AR303" s="2" t="n">
        <v>162762.405681776</v>
      </c>
      <c r="AS303" s="2" t="n">
        <v>314932.220993171</v>
      </c>
    </row>
    <row r="304">
      <c r="A304" s="2" t="s">
        <v>2095</v>
      </c>
      <c r="B304" s="2" t="n">
        <v>358.198423314422</v>
      </c>
      <c r="C304" s="2" t="n">
        <v>3.8081</v>
      </c>
      <c r="D304" s="2" t="s">
        <v>46</v>
      </c>
      <c r="E304" s="2" t="s">
        <v>2096</v>
      </c>
      <c r="F304" s="2" t="n">
        <v>258871</v>
      </c>
      <c r="G304" s="5" t="str">
        <f>HYPERLINK("http://funmeta.oebiotech.com/network/258871", "http://funmeta.oebiotech.com/network/258871")</f>
      </c>
      <c r="H304" s="2"/>
      <c r="I304" s="2" t="n">
        <v>16064</v>
      </c>
      <c r="J304" s="2"/>
      <c r="K304" s="2"/>
      <c r="L304" s="2"/>
      <c r="M304" s="2"/>
      <c r="N304" s="2"/>
      <c r="O304" s="2" t="n">
        <v>10358218</v>
      </c>
      <c r="P304" s="2"/>
      <c r="Q304" s="2" t="s">
        <v>2097</v>
      </c>
      <c r="R304" s="2" t="s">
        <v>2098</v>
      </c>
      <c r="S304" s="2" t="s">
        <v>110</v>
      </c>
      <c r="T304" s="2" t="s">
        <v>111</v>
      </c>
      <c r="U304" s="2" t="s">
        <v>112</v>
      </c>
      <c r="V304" s="2" t="s">
        <v>122</v>
      </c>
      <c r="W304" s="2" t="n">
        <v>57.1</v>
      </c>
      <c r="X304" s="2" t="n">
        <v>0</v>
      </c>
      <c r="Y304" s="2" t="s">
        <v>131</v>
      </c>
      <c r="Z304" s="2" t="s">
        <v>1012</v>
      </c>
      <c r="AA304" s="2" t="n">
        <v>0.204616411461629</v>
      </c>
      <c r="AB304" s="2" t="n">
        <v>1.06165816283278</v>
      </c>
      <c r="AC304" s="2" t="n">
        <v>10982.7181162717</v>
      </c>
      <c r="AD304" s="2" t="n">
        <v>125922.187522579</v>
      </c>
      <c r="AE304" s="3" t="n">
        <v>0.0872182919654438</v>
      </c>
      <c r="AF304" s="3" t="n">
        <v>-3.51922545201643</v>
      </c>
      <c r="AG304" s="3" t="s">
        <v>57</v>
      </c>
      <c r="AH304" s="2" t="n">
        <v>0.00000143690571430065</v>
      </c>
      <c r="AI304" s="2" t="n">
        <v>0.000291400515714136</v>
      </c>
      <c r="AJ304" s="2" t="n">
        <v>1854.13508245064</v>
      </c>
      <c r="AK304" s="2" t="n">
        <v>22850.8494093133</v>
      </c>
      <c r="AL304" s="2" t="n">
        <v>23032.7254517407</v>
      </c>
      <c r="AM304" s="2" t="n">
        <v>7175.88063648977</v>
      </c>
      <c r="AN304" s="2" t="n">
        <v>0.00000136409140715624</v>
      </c>
      <c r="AO304" s="2" t="n">
        <v>129902.137404094</v>
      </c>
      <c r="AP304" s="2" t="n">
        <v>127001.270826495</v>
      </c>
      <c r="AQ304" s="2" t="n">
        <v>151529.72488286</v>
      </c>
      <c r="AR304" s="2" t="n">
        <v>112156.310275927</v>
      </c>
      <c r="AS304" s="2" t="n">
        <v>109021.494223521</v>
      </c>
    </row>
    <row r="305">
      <c r="A305" s="2" t="s">
        <v>2099</v>
      </c>
      <c r="B305" s="2" t="n">
        <v>219.08015919431</v>
      </c>
      <c r="C305" s="2" t="n">
        <v>1.33045</v>
      </c>
      <c r="D305" s="2" t="s">
        <v>46</v>
      </c>
      <c r="E305" s="2" t="s">
        <v>2100</v>
      </c>
      <c r="F305" s="2" t="n">
        <v>53733</v>
      </c>
      <c r="G305" s="5" t="str">
        <f>HYPERLINK("http://funmeta.oebiotech.com/network/53733", "http://funmeta.oebiotech.com/network/53733")</f>
      </c>
      <c r="H305" s="2" t="s">
        <v>2101</v>
      </c>
      <c r="I305" s="2" t="n">
        <v>85609</v>
      </c>
      <c r="J305" s="2"/>
      <c r="K305" s="2" t="n">
        <v>73806</v>
      </c>
      <c r="L305" s="2"/>
      <c r="M305" s="2"/>
      <c r="N305" s="2"/>
      <c r="O305" s="2" t="n">
        <v>85744</v>
      </c>
      <c r="P305" s="2" t="s">
        <v>2102</v>
      </c>
      <c r="Q305" s="2" t="s">
        <v>2103</v>
      </c>
      <c r="R305" s="2" t="s">
        <v>2104</v>
      </c>
      <c r="S305" s="2" t="s">
        <v>110</v>
      </c>
      <c r="T305" s="2" t="s">
        <v>111</v>
      </c>
      <c r="U305" s="2" t="s">
        <v>112</v>
      </c>
      <c r="V305" s="2" t="s">
        <v>69</v>
      </c>
      <c r="W305" s="2" t="n">
        <v>46.8</v>
      </c>
      <c r="X305" s="2" t="n">
        <v>51.9</v>
      </c>
      <c r="Y305" s="2" t="s">
        <v>290</v>
      </c>
      <c r="Z305" s="2" t="s">
        <v>2105</v>
      </c>
      <c r="AA305" s="2" t="n">
        <v>-3.30665256692548</v>
      </c>
      <c r="AB305" s="2" t="n">
        <v>1.06160365118908</v>
      </c>
      <c r="AC305" s="2" t="n">
        <v>96015.6290450418</v>
      </c>
      <c r="AD305" s="2" t="n">
        <v>244299.755767962</v>
      </c>
      <c r="AE305" s="3" t="n">
        <v>0.393023843774279</v>
      </c>
      <c r="AF305" s="3" t="n">
        <v>-1.34731125504616</v>
      </c>
      <c r="AG305" s="3" t="s">
        <v>57</v>
      </c>
      <c r="AH305" s="2" t="n">
        <v>0.021650869565388</v>
      </c>
      <c r="AI305" s="2" t="n">
        <v>0.0607053089249635</v>
      </c>
      <c r="AJ305" s="2" t="n">
        <v>22159.1341729252</v>
      </c>
      <c r="AK305" s="2" t="n">
        <v>179897.066213261</v>
      </c>
      <c r="AL305" s="2" t="n">
        <v>223205.58071919</v>
      </c>
      <c r="AM305" s="2" t="n">
        <v>54328.9248787554</v>
      </c>
      <c r="AN305" s="2" t="n">
        <v>487.439241077572</v>
      </c>
      <c r="AO305" s="2" t="n">
        <v>199853.997151829</v>
      </c>
      <c r="AP305" s="2" t="n">
        <v>230222.437466157</v>
      </c>
      <c r="AQ305" s="2" t="n">
        <v>254714.562722113</v>
      </c>
      <c r="AR305" s="2" t="n">
        <v>192961.762548564</v>
      </c>
      <c r="AS305" s="2" t="n">
        <v>343746.018951146</v>
      </c>
    </row>
    <row r="306">
      <c r="A306" s="2" t="s">
        <v>2106</v>
      </c>
      <c r="B306" s="2" t="n">
        <v>275.102468349984</v>
      </c>
      <c r="C306" s="2" t="n">
        <v>0.764783333333333</v>
      </c>
      <c r="D306" s="2" t="s">
        <v>59</v>
      </c>
      <c r="E306" s="2" t="s">
        <v>2107</v>
      </c>
      <c r="F306" s="2" t="n">
        <v>64557</v>
      </c>
      <c r="G306" s="5" t="str">
        <f>HYPERLINK("http://funmeta.oebiotech.com/network/64557", "http://funmeta.oebiotech.com/network/64557")</f>
      </c>
      <c r="H306" s="2" t="s">
        <v>2108</v>
      </c>
      <c r="I306" s="2" t="n">
        <v>95860</v>
      </c>
      <c r="J306" s="2"/>
      <c r="K306" s="2" t="n">
        <v>168432</v>
      </c>
      <c r="L306" s="2"/>
      <c r="M306" s="2"/>
      <c r="N306" s="2"/>
      <c r="O306" s="2" t="n">
        <v>10515286</v>
      </c>
      <c r="P306" s="2"/>
      <c r="Q306" s="2" t="s">
        <v>2109</v>
      </c>
      <c r="R306" s="2" t="s">
        <v>2110</v>
      </c>
      <c r="S306" s="2" t="s">
        <v>51</v>
      </c>
      <c r="T306" s="2" t="s">
        <v>227</v>
      </c>
      <c r="U306" s="2" t="s">
        <v>1757</v>
      </c>
      <c r="V306" s="2" t="s">
        <v>122</v>
      </c>
      <c r="W306" s="2" t="n">
        <v>42.6</v>
      </c>
      <c r="X306" s="2" t="n">
        <v>0</v>
      </c>
      <c r="Y306" s="2" t="s">
        <v>70</v>
      </c>
      <c r="Z306" s="2" t="s">
        <v>2111</v>
      </c>
      <c r="AA306" s="2" t="n">
        <v>-0.641913063344075</v>
      </c>
      <c r="AB306" s="2" t="n">
        <v>1.05862311798357</v>
      </c>
      <c r="AC306" s="2" t="n">
        <v>127121.268336212</v>
      </c>
      <c r="AD306" s="2" t="n">
        <v>0.00000136409140715624</v>
      </c>
      <c r="AE306" s="4" t="n">
        <v>93191165686.7818</v>
      </c>
      <c r="AF306" s="4" t="n">
        <v>36.4394741459854</v>
      </c>
      <c r="AG306" s="4" t="s">
        <v>72</v>
      </c>
      <c r="AH306" s="2" t="n">
        <v>0.0205781784059017</v>
      </c>
      <c r="AI306" s="2" t="n">
        <v>0.0586521360910228</v>
      </c>
      <c r="AJ306" s="2" t="n">
        <v>299195.008095508</v>
      </c>
      <c r="AK306" s="2" t="n">
        <v>52757.1849739851</v>
      </c>
      <c r="AL306" s="2" t="n">
        <v>87612.0445103969</v>
      </c>
      <c r="AM306" s="2" t="n">
        <v>80289.2837110995</v>
      </c>
      <c r="AN306" s="2" t="n">
        <v>115752.820390073</v>
      </c>
      <c r="AO306" s="2" t="n">
        <v>0.00000136409140715624</v>
      </c>
      <c r="AP306" s="2" t="n">
        <v>0.00000136409140715624</v>
      </c>
      <c r="AQ306" s="2" t="n">
        <v>0.00000136409140715624</v>
      </c>
      <c r="AR306" s="2" t="n">
        <v>0.00000136409140715624</v>
      </c>
      <c r="AS306" s="2" t="n">
        <v>0.00000136409140715624</v>
      </c>
    </row>
    <row r="307">
      <c r="A307" s="2" t="s">
        <v>2112</v>
      </c>
      <c r="B307" s="2" t="n">
        <v>653.064774587941</v>
      </c>
      <c r="C307" s="2" t="n">
        <v>1.33045</v>
      </c>
      <c r="D307" s="2" t="s">
        <v>46</v>
      </c>
      <c r="E307" s="2" t="s">
        <v>2113</v>
      </c>
      <c r="F307" s="2" t="n">
        <v>61053</v>
      </c>
      <c r="G307" s="5" t="str">
        <f>HYPERLINK("http://funmeta.oebiotech.com/network/61053", "http://funmeta.oebiotech.com/network/61053")</f>
      </c>
      <c r="H307" s="2" t="s">
        <v>2114</v>
      </c>
      <c r="I307" s="2"/>
      <c r="J307" s="2"/>
      <c r="K307" s="2"/>
      <c r="L307" s="2"/>
      <c r="M307" s="2"/>
      <c r="N307" s="2"/>
      <c r="O307" s="2"/>
      <c r="P307" s="2" t="s">
        <v>2115</v>
      </c>
      <c r="Q307" s="2" t="s">
        <v>2116</v>
      </c>
      <c r="R307" s="2" t="s">
        <v>2117</v>
      </c>
      <c r="S307" s="2" t="s">
        <v>147</v>
      </c>
      <c r="T307" s="2" t="s">
        <v>197</v>
      </c>
      <c r="U307" s="2" t="s">
        <v>2118</v>
      </c>
      <c r="V307" s="2" t="s">
        <v>54</v>
      </c>
      <c r="W307" s="2" t="n">
        <v>36.1</v>
      </c>
      <c r="X307" s="2" t="n">
        <v>0</v>
      </c>
      <c r="Y307" s="2" t="s">
        <v>131</v>
      </c>
      <c r="Z307" s="2" t="s">
        <v>2119</v>
      </c>
      <c r="AA307" s="2" t="n">
        <v>-0.984297013156002</v>
      </c>
      <c r="AB307" s="2" t="n">
        <v>1.05786062293658</v>
      </c>
      <c r="AC307" s="2" t="n">
        <v>1622.49031583101</v>
      </c>
      <c r="AD307" s="2" t="n">
        <v>116770.587528245</v>
      </c>
      <c r="AE307" s="3" t="n">
        <v>0.0138946831575936</v>
      </c>
      <c r="AF307" s="3" t="n">
        <v>-6.16932325283827</v>
      </c>
      <c r="AG307" s="3" t="s">
        <v>57</v>
      </c>
      <c r="AH307" s="2" t="n">
        <v>0.000125403890719068</v>
      </c>
      <c r="AI307" s="2" t="n">
        <v>0.00165510540453545</v>
      </c>
      <c r="AJ307" s="2" t="n">
        <v>179.400539420709</v>
      </c>
      <c r="AK307" s="2" t="n">
        <v>5477.92603017173</v>
      </c>
      <c r="AL307" s="2" t="n">
        <v>833.905955152848</v>
      </c>
      <c r="AM307" s="2" t="n">
        <v>1488.45255878751</v>
      </c>
      <c r="AN307" s="2" t="n">
        <v>132.766495622269</v>
      </c>
      <c r="AO307" s="2" t="n">
        <v>132321.117644099</v>
      </c>
      <c r="AP307" s="2" t="n">
        <v>110868.389400004</v>
      </c>
      <c r="AQ307" s="2" t="n">
        <v>171764.439143443</v>
      </c>
      <c r="AR307" s="2" t="n">
        <v>75202.7066422769</v>
      </c>
      <c r="AS307" s="2" t="n">
        <v>93696.2848113998</v>
      </c>
    </row>
    <row r="308">
      <c r="A308" s="2" t="s">
        <v>2120</v>
      </c>
      <c r="B308" s="2" t="n">
        <v>387.188686427111</v>
      </c>
      <c r="C308" s="2" t="n">
        <v>3.58175</v>
      </c>
      <c r="D308" s="2" t="s">
        <v>46</v>
      </c>
      <c r="E308" s="2" t="s">
        <v>2121</v>
      </c>
      <c r="F308" s="2" t="n">
        <v>27</v>
      </c>
      <c r="G308" s="5" t="str">
        <f>HYPERLINK("http://funmeta.oebiotech.com/network/27", "http://funmeta.oebiotech.com/network/27")</f>
      </c>
      <c r="H308" s="2"/>
      <c r="I308" s="2"/>
      <c r="J308" s="2" t="s">
        <v>2122</v>
      </c>
      <c r="K308" s="2"/>
      <c r="L308" s="2"/>
      <c r="M308" s="2"/>
      <c r="N308" s="2"/>
      <c r="O308" s="2" t="n">
        <v>101857689</v>
      </c>
      <c r="P308" s="2"/>
      <c r="Q308" s="2" t="s">
        <v>2123</v>
      </c>
      <c r="R308" s="2" t="s">
        <v>2124</v>
      </c>
      <c r="S308" s="2" t="s">
        <v>66</v>
      </c>
      <c r="T308" s="2" t="s">
        <v>67</v>
      </c>
      <c r="U308" s="2" t="s">
        <v>68</v>
      </c>
      <c r="V308" s="2" t="s">
        <v>92</v>
      </c>
      <c r="W308" s="2" t="n">
        <v>53.9</v>
      </c>
      <c r="X308" s="2" t="n">
        <v>67</v>
      </c>
      <c r="Y308" s="2" t="s">
        <v>290</v>
      </c>
      <c r="Z308" s="2" t="s">
        <v>2125</v>
      </c>
      <c r="AA308" s="2" t="n">
        <v>0.24810630218023</v>
      </c>
      <c r="AB308" s="2" t="n">
        <v>1.05615764995396</v>
      </c>
      <c r="AC308" s="2" t="n">
        <v>66359.977337301</v>
      </c>
      <c r="AD308" s="2" t="n">
        <v>190356.999120642</v>
      </c>
      <c r="AE308" s="3" t="n">
        <v>0.348608024101306</v>
      </c>
      <c r="AF308" s="3" t="n">
        <v>-1.52032231774181</v>
      </c>
      <c r="AG308" s="3" t="s">
        <v>57</v>
      </c>
      <c r="AH308" s="2" t="n">
        <v>0.000925631473769796</v>
      </c>
      <c r="AI308" s="2" t="n">
        <v>0.00637391355615865</v>
      </c>
      <c r="AJ308" s="2" t="n">
        <v>40269.4525748002</v>
      </c>
      <c r="AK308" s="2" t="n">
        <v>98057.7980605509</v>
      </c>
      <c r="AL308" s="2" t="n">
        <v>130016.995141632</v>
      </c>
      <c r="AM308" s="2" t="n">
        <v>56609.5746143697</v>
      </c>
      <c r="AN308" s="2" t="n">
        <v>6846.06629515208</v>
      </c>
      <c r="AO308" s="2" t="n">
        <v>228011.056911836</v>
      </c>
      <c r="AP308" s="2" t="n">
        <v>167136.920789154</v>
      </c>
      <c r="AQ308" s="2" t="n">
        <v>201665.206697304</v>
      </c>
      <c r="AR308" s="2" t="n">
        <v>180192.916006411</v>
      </c>
      <c r="AS308" s="2" t="n">
        <v>174778.895198505</v>
      </c>
    </row>
    <row r="309">
      <c r="A309" s="2" t="s">
        <v>2126</v>
      </c>
      <c r="B309" s="2" t="n">
        <v>433.193432780729</v>
      </c>
      <c r="C309" s="2" t="n">
        <v>2.55336666666667</v>
      </c>
      <c r="D309" s="2" t="s">
        <v>59</v>
      </c>
      <c r="E309" s="2" t="s">
        <v>2127</v>
      </c>
      <c r="F309" s="2" t="n">
        <v>205557</v>
      </c>
      <c r="G309" s="5" t="str">
        <f>HYPERLINK("http://funmeta.oebiotech.com/network/205557", "http://funmeta.oebiotech.com/network/205557")</f>
      </c>
      <c r="H309" s="2" t="s">
        <v>2128</v>
      </c>
      <c r="I309" s="2"/>
      <c r="J309" s="2"/>
      <c r="K309" s="2" t="n">
        <v>91825</v>
      </c>
      <c r="L309" s="2"/>
      <c r="M309" s="2"/>
      <c r="N309" s="2"/>
      <c r="O309" s="2" t="n">
        <v>2956</v>
      </c>
      <c r="P309" s="2"/>
      <c r="Q309" s="2" t="s">
        <v>2129</v>
      </c>
      <c r="R309" s="2" t="s">
        <v>2130</v>
      </c>
      <c r="S309" s="2" t="s">
        <v>110</v>
      </c>
      <c r="T309" s="2" t="s">
        <v>111</v>
      </c>
      <c r="U309" s="2" t="s">
        <v>112</v>
      </c>
      <c r="V309" s="2" t="s">
        <v>54</v>
      </c>
      <c r="W309" s="2" t="n">
        <v>39.2</v>
      </c>
      <c r="X309" s="2" t="n">
        <v>7.72</v>
      </c>
      <c r="Y309" s="2" t="s">
        <v>248</v>
      </c>
      <c r="Z309" s="2" t="s">
        <v>2131</v>
      </c>
      <c r="AA309" s="2" t="n">
        <v>0.214229648918114</v>
      </c>
      <c r="AB309" s="2" t="n">
        <v>1.05449720320248</v>
      </c>
      <c r="AC309" s="2" t="n">
        <v>24553.4173686326</v>
      </c>
      <c r="AD309" s="2" t="n">
        <v>141088.836770572</v>
      </c>
      <c r="AE309" s="3" t="n">
        <v>0.1740280657963</v>
      </c>
      <c r="AF309" s="3" t="n">
        <v>-2.52260810421572</v>
      </c>
      <c r="AG309" s="3" t="s">
        <v>57</v>
      </c>
      <c r="AH309" s="2" t="n">
        <v>0.00000893750489499008</v>
      </c>
      <c r="AI309" s="2" t="n">
        <v>0.000461771042216647</v>
      </c>
      <c r="AJ309" s="2" t="n">
        <v>13349.2414030974</v>
      </c>
      <c r="AK309" s="2" t="n">
        <v>41426.784183968</v>
      </c>
      <c r="AL309" s="2" t="n">
        <v>49039.3956886906</v>
      </c>
      <c r="AM309" s="2" t="n">
        <v>18433.0224522279</v>
      </c>
      <c r="AN309" s="2" t="n">
        <v>518.643115179203</v>
      </c>
      <c r="AO309" s="2" t="n">
        <v>124286.560057333</v>
      </c>
      <c r="AP309" s="2" t="n">
        <v>129102.388511424</v>
      </c>
      <c r="AQ309" s="2" t="n">
        <v>161670.475066765</v>
      </c>
      <c r="AR309" s="2" t="n">
        <v>134108.627924551</v>
      </c>
      <c r="AS309" s="2" t="n">
        <v>156276.132292788</v>
      </c>
    </row>
    <row r="310">
      <c r="A310" s="2" t="s">
        <v>2132</v>
      </c>
      <c r="B310" s="2" t="n">
        <v>159.091853182257</v>
      </c>
      <c r="C310" s="2" t="n">
        <v>3.64293333333333</v>
      </c>
      <c r="D310" s="2" t="s">
        <v>59</v>
      </c>
      <c r="E310" s="2" t="s">
        <v>2133</v>
      </c>
      <c r="F310" s="2" t="n">
        <v>209552</v>
      </c>
      <c r="G310" s="5" t="str">
        <f>HYPERLINK("http://funmeta.oebiotech.com/network/209552", "http://funmeta.oebiotech.com/network/209552")</f>
      </c>
      <c r="H310" s="2" t="s">
        <v>2134</v>
      </c>
      <c r="I310" s="2" t="n">
        <v>68165</v>
      </c>
      <c r="J310" s="2"/>
      <c r="K310" s="2"/>
      <c r="L310" s="2" t="s">
        <v>2135</v>
      </c>
      <c r="M310" s="2"/>
      <c r="N310" s="2"/>
      <c r="O310" s="2" t="n">
        <v>10249</v>
      </c>
      <c r="P310" s="2" t="s">
        <v>2136</v>
      </c>
      <c r="Q310" s="2" t="s">
        <v>2137</v>
      </c>
      <c r="R310" s="2" t="s">
        <v>2138</v>
      </c>
      <c r="S310" s="2" t="s">
        <v>51</v>
      </c>
      <c r="T310" s="2" t="s">
        <v>343</v>
      </c>
      <c r="U310" s="2" t="s">
        <v>77</v>
      </c>
      <c r="V310" s="2" t="s">
        <v>92</v>
      </c>
      <c r="W310" s="2" t="n">
        <v>57.5</v>
      </c>
      <c r="X310" s="2" t="n">
        <v>84.6</v>
      </c>
      <c r="Y310" s="2" t="s">
        <v>248</v>
      </c>
      <c r="Z310" s="2" t="s">
        <v>2139</v>
      </c>
      <c r="AA310" s="2" t="n">
        <v>1.12863735677314</v>
      </c>
      <c r="AB310" s="2" t="n">
        <v>1.05012830011723</v>
      </c>
      <c r="AC310" s="2" t="n">
        <v>159485.900200667</v>
      </c>
      <c r="AD310" s="2" t="n">
        <v>283115.93258389</v>
      </c>
      <c r="AE310" s="3" t="n">
        <v>0.563323648885107</v>
      </c>
      <c r="AF310" s="3" t="n">
        <v>-0.827964056270845</v>
      </c>
      <c r="AG310" s="3" t="s">
        <v>57</v>
      </c>
      <c r="AH310" s="2" t="n">
        <v>0.0000722341238195684</v>
      </c>
      <c r="AI310" s="2" t="n">
        <v>0.00118633175687948</v>
      </c>
      <c r="AJ310" s="2" t="n">
        <v>166238.236730318</v>
      </c>
      <c r="AK310" s="2" t="n">
        <v>175699.241977233</v>
      </c>
      <c r="AL310" s="2" t="n">
        <v>170569.043346658</v>
      </c>
      <c r="AM310" s="2" t="n">
        <v>181175.337231761</v>
      </c>
      <c r="AN310" s="2" t="n">
        <v>103747.641717364</v>
      </c>
      <c r="AO310" s="2" t="n">
        <v>267038.837253615</v>
      </c>
      <c r="AP310" s="2" t="n">
        <v>281487.823218285</v>
      </c>
      <c r="AQ310" s="2" t="n">
        <v>314992.818821197</v>
      </c>
      <c r="AR310" s="2" t="n">
        <v>268524.504100423</v>
      </c>
      <c r="AS310" s="2" t="n">
        <v>283535.679525928</v>
      </c>
    </row>
    <row r="311">
      <c r="A311" s="2" t="s">
        <v>2140</v>
      </c>
      <c r="B311" s="2" t="n">
        <v>496.283210539206</v>
      </c>
      <c r="C311" s="2" t="n">
        <v>8.64666666666667</v>
      </c>
      <c r="D311" s="2" t="s">
        <v>46</v>
      </c>
      <c r="E311" s="2" t="s">
        <v>2141</v>
      </c>
      <c r="F311" s="2" t="n">
        <v>19879</v>
      </c>
      <c r="G311" s="5" t="str">
        <f>HYPERLINK("http://funmeta.oebiotech.com/network/19879", "http://funmeta.oebiotech.com/network/19879")</f>
      </c>
      <c r="H311" s="2" t="s">
        <v>2142</v>
      </c>
      <c r="I311" s="2" t="n">
        <v>61699</v>
      </c>
      <c r="J311" s="2" t="s">
        <v>2143</v>
      </c>
      <c r="K311" s="2" t="n">
        <v>88696</v>
      </c>
      <c r="L311" s="2" t="s">
        <v>734</v>
      </c>
      <c r="M311" s="2" t="s">
        <v>735</v>
      </c>
      <c r="N311" s="2" t="s">
        <v>736</v>
      </c>
      <c r="O311" s="2" t="n">
        <v>52924047</v>
      </c>
      <c r="P311" s="2"/>
      <c r="Q311" s="2" t="s">
        <v>2144</v>
      </c>
      <c r="R311" s="2" t="s">
        <v>2145</v>
      </c>
      <c r="S311" s="2" t="s">
        <v>66</v>
      </c>
      <c r="T311" s="2" t="s">
        <v>129</v>
      </c>
      <c r="U311" s="2" t="s">
        <v>740</v>
      </c>
      <c r="V311" s="2" t="s">
        <v>54</v>
      </c>
      <c r="W311" s="2" t="n">
        <v>39.5</v>
      </c>
      <c r="X311" s="2" t="n">
        <v>0.703</v>
      </c>
      <c r="Y311" s="2" t="s">
        <v>438</v>
      </c>
      <c r="Z311" s="2" t="s">
        <v>2146</v>
      </c>
      <c r="AA311" s="2" t="n">
        <v>-0.267392618329945</v>
      </c>
      <c r="AB311" s="2" t="n">
        <v>1.04961303656808</v>
      </c>
      <c r="AC311" s="2" t="n">
        <v>221173.429043297</v>
      </c>
      <c r="AD311" s="2" t="n">
        <v>84438.4198115795</v>
      </c>
      <c r="AE311" s="4" t="n">
        <v>2.61934590364001</v>
      </c>
      <c r="AF311" s="4" t="n">
        <v>1.38920659062174</v>
      </c>
      <c r="AG311" s="4" t="s">
        <v>72</v>
      </c>
      <c r="AH311" s="2" t="n">
        <v>0.00908527771648922</v>
      </c>
      <c r="AI311" s="2" t="n">
        <v>0.0336975873188468</v>
      </c>
      <c r="AJ311" s="2" t="n">
        <v>293222.990616329</v>
      </c>
      <c r="AK311" s="2" t="n">
        <v>133127.780862752</v>
      </c>
      <c r="AL311" s="2" t="n">
        <v>120194.844010219</v>
      </c>
      <c r="AM311" s="2" t="n">
        <v>250495.451385597</v>
      </c>
      <c r="AN311" s="2" t="n">
        <v>308826.078341586</v>
      </c>
      <c r="AO311" s="2" t="n">
        <v>76613.4067682625</v>
      </c>
      <c r="AP311" s="2" t="n">
        <v>93842.8894572002</v>
      </c>
      <c r="AQ311" s="2" t="n">
        <v>80294.2062531521</v>
      </c>
      <c r="AR311" s="2" t="n">
        <v>93241.7111283002</v>
      </c>
      <c r="AS311" s="2" t="n">
        <v>78199.8854509825</v>
      </c>
    </row>
    <row r="312">
      <c r="A312" s="2" t="s">
        <v>2147</v>
      </c>
      <c r="B312" s="2" t="n">
        <v>373.172855660039</v>
      </c>
      <c r="C312" s="2" t="n">
        <v>3.52495</v>
      </c>
      <c r="D312" s="2" t="s">
        <v>46</v>
      </c>
      <c r="E312" s="2" t="s">
        <v>2148</v>
      </c>
      <c r="F312" s="2" t="n">
        <v>264029</v>
      </c>
      <c r="G312" s="5" t="str">
        <f>HYPERLINK("http://funmeta.oebiotech.com/network/264029", "http://funmeta.oebiotech.com/network/264029")</f>
      </c>
      <c r="H312" s="2"/>
      <c r="I312" s="2" t="n">
        <v>21467</v>
      </c>
      <c r="J312" s="2"/>
      <c r="K312" s="2"/>
      <c r="L312" s="2"/>
      <c r="M312" s="2"/>
      <c r="N312" s="2"/>
      <c r="O312" s="2" t="n">
        <v>145454102</v>
      </c>
      <c r="P312" s="2"/>
      <c r="Q312" s="2" t="s">
        <v>2149</v>
      </c>
      <c r="R312" s="2" t="s">
        <v>2150</v>
      </c>
      <c r="S312" s="2" t="s">
        <v>110</v>
      </c>
      <c r="T312" s="2" t="s">
        <v>111</v>
      </c>
      <c r="U312" s="2" t="s">
        <v>112</v>
      </c>
      <c r="V312" s="2" t="s">
        <v>122</v>
      </c>
      <c r="W312" s="2" t="n">
        <v>41.5</v>
      </c>
      <c r="X312" s="2" t="n">
        <v>0</v>
      </c>
      <c r="Y312" s="2" t="s">
        <v>290</v>
      </c>
      <c r="Z312" s="2" t="s">
        <v>1851</v>
      </c>
      <c r="AA312" s="2" t="n">
        <v>-0.0456943032490312</v>
      </c>
      <c r="AB312" s="2" t="n">
        <v>1.04960286930416</v>
      </c>
      <c r="AC312" s="2" t="n">
        <v>81345.4383291154</v>
      </c>
      <c r="AD312" s="2" t="n">
        <v>212457.805532945</v>
      </c>
      <c r="AE312" s="3" t="n">
        <v>0.382878087839901</v>
      </c>
      <c r="AF312" s="3" t="n">
        <v>-1.38504299795154</v>
      </c>
      <c r="AG312" s="3" t="s">
        <v>57</v>
      </c>
      <c r="AH312" s="2" t="n">
        <v>0.00349139279008895</v>
      </c>
      <c r="AI312" s="2" t="n">
        <v>0.0169227144333509</v>
      </c>
      <c r="AJ312" s="2" t="n">
        <v>43427.8872016624</v>
      </c>
      <c r="AK312" s="2" t="n">
        <v>127795.315101117</v>
      </c>
      <c r="AL312" s="2" t="n">
        <v>161903.090887106</v>
      </c>
      <c r="AM312" s="2" t="n">
        <v>72170.9074216641</v>
      </c>
      <c r="AN312" s="2" t="n">
        <v>1429.99103402734</v>
      </c>
      <c r="AO312" s="2" t="n">
        <v>263361.31529068</v>
      </c>
      <c r="AP312" s="2" t="n">
        <v>184706.132395368</v>
      </c>
      <c r="AQ312" s="2" t="n">
        <v>210887.406458396</v>
      </c>
      <c r="AR312" s="2" t="n">
        <v>216031.803339122</v>
      </c>
      <c r="AS312" s="2" t="n">
        <v>187302.370181158</v>
      </c>
    </row>
    <row r="313">
      <c r="A313" s="2" t="s">
        <v>2151</v>
      </c>
      <c r="B313" s="2" t="n">
        <v>403.183324438347</v>
      </c>
      <c r="C313" s="2" t="n">
        <v>1.55508333333333</v>
      </c>
      <c r="D313" s="2" t="s">
        <v>46</v>
      </c>
      <c r="E313" s="2" t="s">
        <v>2152</v>
      </c>
      <c r="F313" s="2" t="n">
        <v>54058</v>
      </c>
      <c r="G313" s="5" t="str">
        <f>HYPERLINK("http://funmeta.oebiotech.com/network/54058", "http://funmeta.oebiotech.com/network/54058")</f>
      </c>
      <c r="H313" s="2" t="s">
        <v>2153</v>
      </c>
      <c r="I313" s="2" t="n">
        <v>23688</v>
      </c>
      <c r="J313" s="2"/>
      <c r="K313" s="2" t="n">
        <v>74820</v>
      </c>
      <c r="L313" s="2"/>
      <c r="M313" s="2"/>
      <c r="N313" s="2"/>
      <c r="O313" s="2" t="n">
        <v>4369021</v>
      </c>
      <c r="P313" s="2" t="s">
        <v>2154</v>
      </c>
      <c r="Q313" s="2" t="s">
        <v>2155</v>
      </c>
      <c r="R313" s="2" t="s">
        <v>2156</v>
      </c>
      <c r="S313" s="2" t="s">
        <v>110</v>
      </c>
      <c r="T313" s="2" t="s">
        <v>111</v>
      </c>
      <c r="U313" s="2" t="s">
        <v>112</v>
      </c>
      <c r="V313" s="2" t="s">
        <v>54</v>
      </c>
      <c r="W313" s="2" t="n">
        <v>46.7</v>
      </c>
      <c r="X313" s="2" t="n">
        <v>39.7</v>
      </c>
      <c r="Y313" s="2" t="s">
        <v>85</v>
      </c>
      <c r="Z313" s="2" t="s">
        <v>2157</v>
      </c>
      <c r="AA313" s="2" t="n">
        <v>-0.279579142577033</v>
      </c>
      <c r="AB313" s="2" t="n">
        <v>1.04846443820846</v>
      </c>
      <c r="AC313" s="2" t="n">
        <v>34905.6370387059</v>
      </c>
      <c r="AD313" s="2" t="n">
        <v>151783.915029136</v>
      </c>
      <c r="AE313" s="3" t="n">
        <v>0.229969275940771</v>
      </c>
      <c r="AF313" s="3" t="n">
        <v>-2.1204869659295</v>
      </c>
      <c r="AG313" s="3" t="s">
        <v>57</v>
      </c>
      <c r="AH313" s="2" t="n">
        <v>0.000129506380588046</v>
      </c>
      <c r="AI313" s="2" t="n">
        <v>0.00169398971037042</v>
      </c>
      <c r="AJ313" s="2" t="n">
        <v>6087.84329321889</v>
      </c>
      <c r="AK313" s="2" t="n">
        <v>75724.7888059818</v>
      </c>
      <c r="AL313" s="2" t="n">
        <v>73557.0293431058</v>
      </c>
      <c r="AM313" s="2" t="n">
        <v>18958.4679674081</v>
      </c>
      <c r="AN313" s="2" t="n">
        <v>200.055783815136</v>
      </c>
      <c r="AO313" s="2" t="n">
        <v>161129.211266263</v>
      </c>
      <c r="AP313" s="2" t="n">
        <v>142180.756808171</v>
      </c>
      <c r="AQ313" s="2" t="n">
        <v>162592.523366629</v>
      </c>
      <c r="AR313" s="2" t="n">
        <v>145479.334138869</v>
      </c>
      <c r="AS313" s="2" t="n">
        <v>147537.74956575</v>
      </c>
    </row>
    <row r="314">
      <c r="A314" s="2" t="s">
        <v>2158</v>
      </c>
      <c r="B314" s="2" t="n">
        <v>332.218169714479</v>
      </c>
      <c r="C314" s="2" t="n">
        <v>4.42913333333333</v>
      </c>
      <c r="D314" s="2" t="s">
        <v>59</v>
      </c>
      <c r="E314" s="2" t="s">
        <v>2159</v>
      </c>
      <c r="F314" s="2" t="n">
        <v>261631</v>
      </c>
      <c r="G314" s="5" t="str">
        <f>HYPERLINK("http://funmeta.oebiotech.com/network/261631", "http://funmeta.oebiotech.com/network/261631")</f>
      </c>
      <c r="H314" s="2"/>
      <c r="I314" s="2" t="n">
        <v>18955</v>
      </c>
      <c r="J314" s="2"/>
      <c r="K314" s="2"/>
      <c r="L314" s="2"/>
      <c r="M314" s="2"/>
      <c r="N314" s="2"/>
      <c r="O314" s="2" t="n">
        <v>145457799</v>
      </c>
      <c r="P314" s="2"/>
      <c r="Q314" s="2" t="s">
        <v>2160</v>
      </c>
      <c r="R314" s="2" t="s">
        <v>2161</v>
      </c>
      <c r="S314" s="2" t="s">
        <v>110</v>
      </c>
      <c r="T314" s="2" t="s">
        <v>111</v>
      </c>
      <c r="U314" s="2" t="s">
        <v>112</v>
      </c>
      <c r="V314" s="2" t="s">
        <v>92</v>
      </c>
      <c r="W314" s="2" t="n">
        <v>57.6</v>
      </c>
      <c r="X314" s="2" t="n">
        <v>76.1</v>
      </c>
      <c r="Y314" s="2" t="s">
        <v>304</v>
      </c>
      <c r="Z314" s="2" t="s">
        <v>525</v>
      </c>
      <c r="AA314" s="2" t="n">
        <v>0.520032226235383</v>
      </c>
      <c r="AB314" s="2" t="n">
        <v>1.04839650000207</v>
      </c>
      <c r="AC314" s="2" t="n">
        <v>42413.7347641829</v>
      </c>
      <c r="AD314" s="2" t="n">
        <v>160460.794157107</v>
      </c>
      <c r="AE314" s="3" t="n">
        <v>0.264324597089154</v>
      </c>
      <c r="AF314" s="3" t="n">
        <v>-1.91961741168848</v>
      </c>
      <c r="AG314" s="3" t="s">
        <v>57</v>
      </c>
      <c r="AH314" s="2" t="n">
        <v>0.000492526748614715</v>
      </c>
      <c r="AI314" s="2" t="n">
        <v>0.00411669855867989</v>
      </c>
      <c r="AJ314" s="2" t="n">
        <v>22853.503410605</v>
      </c>
      <c r="AK314" s="2" t="n">
        <v>69973.7943250582</v>
      </c>
      <c r="AL314" s="2" t="n">
        <v>90201.9512482277</v>
      </c>
      <c r="AM314" s="2" t="n">
        <v>27572.4497559065</v>
      </c>
      <c r="AN314" s="2" t="n">
        <v>1466.97508111703</v>
      </c>
      <c r="AO314" s="2" t="n">
        <v>193888.33701294</v>
      </c>
      <c r="AP314" s="2" t="n">
        <v>127538.690781531</v>
      </c>
      <c r="AQ314" s="2" t="n">
        <v>189317.2795479</v>
      </c>
      <c r="AR314" s="2" t="n">
        <v>147159.564008027</v>
      </c>
      <c r="AS314" s="2" t="n">
        <v>144400.099435136</v>
      </c>
    </row>
    <row r="315">
      <c r="A315" s="2" t="s">
        <v>2162</v>
      </c>
      <c r="B315" s="2" t="n">
        <v>647.240116035706</v>
      </c>
      <c r="C315" s="2" t="n">
        <v>6.94768333333333</v>
      </c>
      <c r="D315" s="2" t="s">
        <v>59</v>
      </c>
      <c r="E315" s="2" t="s">
        <v>2163</v>
      </c>
      <c r="F315" s="2" t="n">
        <v>56562</v>
      </c>
      <c r="G315" s="5" t="str">
        <f>HYPERLINK("http://funmeta.oebiotech.com/network/56562", "http://funmeta.oebiotech.com/network/56562")</f>
      </c>
      <c r="H315" s="2" t="s">
        <v>2164</v>
      </c>
      <c r="I315" s="2" t="n">
        <v>88197</v>
      </c>
      <c r="J315" s="2"/>
      <c r="K315" s="2"/>
      <c r="L315" s="2"/>
      <c r="M315" s="2"/>
      <c r="N315" s="2"/>
      <c r="O315" s="2" t="n">
        <v>10532237</v>
      </c>
      <c r="P315" s="2"/>
      <c r="Q315" s="2" t="s">
        <v>2165</v>
      </c>
      <c r="R315" s="2" t="s">
        <v>2166</v>
      </c>
      <c r="S315" s="2" t="s">
        <v>158</v>
      </c>
      <c r="T315" s="2" t="s">
        <v>2167</v>
      </c>
      <c r="U315" s="2" t="s">
        <v>2168</v>
      </c>
      <c r="V315" s="2" t="s">
        <v>54</v>
      </c>
      <c r="W315" s="2" t="n">
        <v>37.7</v>
      </c>
      <c r="X315" s="2" t="n">
        <v>7.05</v>
      </c>
      <c r="Y315" s="2" t="s">
        <v>248</v>
      </c>
      <c r="Z315" s="2" t="s">
        <v>2169</v>
      </c>
      <c r="AA315" s="2" t="n">
        <v>2.04810073960031</v>
      </c>
      <c r="AB315" s="2" t="n">
        <v>1.04620128671157</v>
      </c>
      <c r="AC315" s="2" t="n">
        <v>1632.38085944681</v>
      </c>
      <c r="AD315" s="2" t="n">
        <v>129139.79454314</v>
      </c>
      <c r="AE315" s="3" t="n">
        <v>0.0126404170397027</v>
      </c>
      <c r="AF315" s="3" t="n">
        <v>-6.30581212727351</v>
      </c>
      <c r="AG315" s="3" t="s">
        <v>57</v>
      </c>
      <c r="AH315" s="2" t="n">
        <v>0.00408237284429801</v>
      </c>
      <c r="AI315" s="2" t="n">
        <v>0.0190222106575533</v>
      </c>
      <c r="AJ315" s="2" t="n">
        <v>848.907855408825</v>
      </c>
      <c r="AK315" s="2" t="n">
        <v>0.00000136409140715624</v>
      </c>
      <c r="AL315" s="2" t="n">
        <v>2919.9592927661</v>
      </c>
      <c r="AM315" s="2" t="n">
        <v>4393.03714633094</v>
      </c>
      <c r="AN315" s="2" t="n">
        <v>0.00000136409140715624</v>
      </c>
      <c r="AO315" s="2" t="n">
        <v>114139.340718789</v>
      </c>
      <c r="AP315" s="2" t="n">
        <v>209502.556311584</v>
      </c>
      <c r="AQ315" s="2" t="n">
        <v>173773.519629202</v>
      </c>
      <c r="AR315" s="2" t="n">
        <v>20175.1720506306</v>
      </c>
      <c r="AS315" s="2" t="n">
        <v>128108.384005495</v>
      </c>
    </row>
    <row r="316">
      <c r="A316" s="2" t="s">
        <v>2170</v>
      </c>
      <c r="B316" s="2" t="n">
        <v>219.097807417948</v>
      </c>
      <c r="C316" s="2" t="n">
        <v>0.7213</v>
      </c>
      <c r="D316" s="2" t="s">
        <v>46</v>
      </c>
      <c r="E316" s="2" t="s">
        <v>2171</v>
      </c>
      <c r="F316" s="2" t="n">
        <v>47396</v>
      </c>
      <c r="G316" s="5" t="str">
        <f>HYPERLINK("http://funmeta.oebiotech.com/network/47396", "http://funmeta.oebiotech.com/network/47396")</f>
      </c>
      <c r="H316" s="2" t="s">
        <v>2172</v>
      </c>
      <c r="I316" s="2" t="n">
        <v>6006</v>
      </c>
      <c r="J316" s="2"/>
      <c r="K316" s="2" t="n">
        <v>15947</v>
      </c>
      <c r="L316" s="2" t="s">
        <v>2173</v>
      </c>
      <c r="M316" s="2"/>
      <c r="N316" s="2"/>
      <c r="O316" s="2" t="n">
        <v>439454</v>
      </c>
      <c r="P316" s="2"/>
      <c r="Q316" s="2" t="s">
        <v>2174</v>
      </c>
      <c r="R316" s="2" t="s">
        <v>2175</v>
      </c>
      <c r="S316" s="2" t="s">
        <v>137</v>
      </c>
      <c r="T316" s="2" t="s">
        <v>138</v>
      </c>
      <c r="U316" s="2" t="s">
        <v>675</v>
      </c>
      <c r="V316" s="2" t="s">
        <v>122</v>
      </c>
      <c r="W316" s="2" t="n">
        <v>41.1</v>
      </c>
      <c r="X316" s="2" t="n">
        <v>0</v>
      </c>
      <c r="Y316" s="2" t="s">
        <v>290</v>
      </c>
      <c r="Z316" s="2" t="s">
        <v>2176</v>
      </c>
      <c r="AA316" s="2" t="n">
        <v>-3.80621550864755</v>
      </c>
      <c r="AB316" s="2" t="n">
        <v>1.04533444434836</v>
      </c>
      <c r="AC316" s="2" t="n">
        <v>44119.4101595498</v>
      </c>
      <c r="AD316" s="2" t="n">
        <v>165348.551087823</v>
      </c>
      <c r="AE316" s="3" t="n">
        <v>0.266826711630006</v>
      </c>
      <c r="AF316" s="3" t="n">
        <v>-1.9060249950547</v>
      </c>
      <c r="AG316" s="3" t="s">
        <v>57</v>
      </c>
      <c r="AH316" s="2" t="n">
        <v>0.00138886890159126</v>
      </c>
      <c r="AI316" s="2" t="n">
        <v>0.0084867275947078</v>
      </c>
      <c r="AJ316" s="2" t="n">
        <v>29437.1616971242</v>
      </c>
      <c r="AK316" s="2" t="n">
        <v>82562.5165143338</v>
      </c>
      <c r="AL316" s="2" t="n">
        <v>67873.7604140772</v>
      </c>
      <c r="AM316" s="2" t="n">
        <v>37736.2179913967</v>
      </c>
      <c r="AN316" s="2" t="n">
        <v>2987.39418081712</v>
      </c>
      <c r="AO316" s="2" t="n">
        <v>137715.894082878</v>
      </c>
      <c r="AP316" s="2" t="n">
        <v>164908.397825404</v>
      </c>
      <c r="AQ316" s="2" t="n">
        <v>221080.202513076</v>
      </c>
      <c r="AR316" s="2" t="n">
        <v>103475.750045166</v>
      </c>
      <c r="AS316" s="2" t="n">
        <v>199562.510972589</v>
      </c>
    </row>
    <row r="317">
      <c r="A317" s="2" t="s">
        <v>2177</v>
      </c>
      <c r="B317" s="2" t="n">
        <v>670.439843877512</v>
      </c>
      <c r="C317" s="2" t="n">
        <v>14.8295166666667</v>
      </c>
      <c r="D317" s="2" t="s">
        <v>59</v>
      </c>
      <c r="E317" s="2" t="s">
        <v>2178</v>
      </c>
      <c r="F317" s="2" t="n">
        <v>20114</v>
      </c>
      <c r="G317" s="5" t="str">
        <f>HYPERLINK("http://funmeta.oebiotech.com/network/20114", "http://funmeta.oebiotech.com/network/20114")</f>
      </c>
      <c r="H317" s="2" t="s">
        <v>2179</v>
      </c>
      <c r="I317" s="2" t="n">
        <v>60300</v>
      </c>
      <c r="J317" s="2" t="s">
        <v>2180</v>
      </c>
      <c r="K317" s="2"/>
      <c r="L317" s="2" t="s">
        <v>2181</v>
      </c>
      <c r="M317" s="2" t="s">
        <v>2182</v>
      </c>
      <c r="N317" s="2" t="s">
        <v>2183</v>
      </c>
      <c r="O317" s="2" t="n">
        <v>52924130</v>
      </c>
      <c r="P317" s="2"/>
      <c r="Q317" s="2" t="s">
        <v>2184</v>
      </c>
      <c r="R317" s="2" t="s">
        <v>2185</v>
      </c>
      <c r="S317" s="2" t="s">
        <v>66</v>
      </c>
      <c r="T317" s="2" t="s">
        <v>129</v>
      </c>
      <c r="U317" s="2" t="s">
        <v>1477</v>
      </c>
      <c r="V317" s="2" t="s">
        <v>54</v>
      </c>
      <c r="W317" s="2" t="n">
        <v>38.4</v>
      </c>
      <c r="X317" s="2" t="n">
        <v>0</v>
      </c>
      <c r="Y317" s="2" t="s">
        <v>363</v>
      </c>
      <c r="Z317" s="2" t="s">
        <v>2186</v>
      </c>
      <c r="AA317" s="2" t="n">
        <v>-3.06047172257866</v>
      </c>
      <c r="AB317" s="2" t="n">
        <v>1.04400649066392</v>
      </c>
      <c r="AC317" s="2" t="n">
        <v>216282.58224012</v>
      </c>
      <c r="AD317" s="2" t="n">
        <v>39793.8128544536</v>
      </c>
      <c r="AE317" s="4" t="n">
        <v>5.43508065012963</v>
      </c>
      <c r="AF317" s="4" t="n">
        <v>2.44230144328916</v>
      </c>
      <c r="AG317" s="4" t="s">
        <v>72</v>
      </c>
      <c r="AH317" s="2" t="n">
        <v>0.0463521487069245</v>
      </c>
      <c r="AI317" s="2" t="n">
        <v>0.0999350961819638</v>
      </c>
      <c r="AJ317" s="2" t="n">
        <v>290669.60928148</v>
      </c>
      <c r="AK317" s="2" t="n">
        <v>69243.4025427707</v>
      </c>
      <c r="AL317" s="2" t="n">
        <v>63215.9729453962</v>
      </c>
      <c r="AM317" s="2" t="n">
        <v>194601.271704325</v>
      </c>
      <c r="AN317" s="2" t="n">
        <v>463682.654726629</v>
      </c>
      <c r="AO317" s="2" t="n">
        <v>36975.7174579775</v>
      </c>
      <c r="AP317" s="2" t="n">
        <v>43763.7334448537</v>
      </c>
      <c r="AQ317" s="2" t="n">
        <v>32246.8548548235</v>
      </c>
      <c r="AR317" s="2" t="n">
        <v>40774.7616915063</v>
      </c>
      <c r="AS317" s="2" t="n">
        <v>45207.9968231068</v>
      </c>
    </row>
    <row r="318">
      <c r="A318" s="2" t="s">
        <v>2187</v>
      </c>
      <c r="B318" s="2" t="n">
        <v>358.197251541285</v>
      </c>
      <c r="C318" s="2" t="n">
        <v>3.64293333333333</v>
      </c>
      <c r="D318" s="2" t="s">
        <v>59</v>
      </c>
      <c r="E318" s="2" t="s">
        <v>2188</v>
      </c>
      <c r="F318" s="2" t="n">
        <v>211322</v>
      </c>
      <c r="G318" s="5" t="str">
        <f>HYPERLINK("http://funmeta.oebiotech.com/network/211322", "http://funmeta.oebiotech.com/network/211322")</f>
      </c>
      <c r="H318" s="2" t="s">
        <v>2189</v>
      </c>
      <c r="I318" s="2"/>
      <c r="J318" s="2"/>
      <c r="K318" s="2"/>
      <c r="L318" s="2"/>
      <c r="M318" s="2"/>
      <c r="N318" s="2"/>
      <c r="O318" s="2" t="n">
        <v>22142125</v>
      </c>
      <c r="P318" s="2"/>
      <c r="Q318" s="2" t="s">
        <v>2190</v>
      </c>
      <c r="R318" s="2" t="s">
        <v>2191</v>
      </c>
      <c r="S318" s="2" t="s">
        <v>110</v>
      </c>
      <c r="T318" s="2" t="s">
        <v>111</v>
      </c>
      <c r="U318" s="2" t="s">
        <v>112</v>
      </c>
      <c r="V318" s="2" t="s">
        <v>54</v>
      </c>
      <c r="W318" s="2" t="n">
        <v>45</v>
      </c>
      <c r="X318" s="2" t="n">
        <v>31.6</v>
      </c>
      <c r="Y318" s="2" t="s">
        <v>70</v>
      </c>
      <c r="Z318" s="2" t="s">
        <v>2192</v>
      </c>
      <c r="AA318" s="2" t="n">
        <v>-0.0308244639165467</v>
      </c>
      <c r="AB318" s="2" t="n">
        <v>1.04206432469021</v>
      </c>
      <c r="AC318" s="2" t="n">
        <v>23484.5932333071</v>
      </c>
      <c r="AD318" s="2" t="n">
        <v>134901.866278852</v>
      </c>
      <c r="AE318" s="3" t="n">
        <v>0.174086496214683</v>
      </c>
      <c r="AF318" s="3" t="n">
        <v>-2.52212379654905</v>
      </c>
      <c r="AG318" s="3" t="s">
        <v>57</v>
      </c>
      <c r="AH318" s="2" t="n">
        <v>0.0000307261823229826</v>
      </c>
      <c r="AI318" s="2" t="n">
        <v>0.000736940175109605</v>
      </c>
      <c r="AJ318" s="2" t="n">
        <v>17923.9997144523</v>
      </c>
      <c r="AK318" s="2" t="n">
        <v>26913.8080940242</v>
      </c>
      <c r="AL318" s="2" t="n">
        <v>40981.9928666634</v>
      </c>
      <c r="AM318" s="2" t="n">
        <v>26641.8517021779</v>
      </c>
      <c r="AN318" s="2" t="n">
        <v>4961.31378921773</v>
      </c>
      <c r="AO318" s="2" t="n">
        <v>143053.522205053</v>
      </c>
      <c r="AP318" s="2" t="n">
        <v>143634.924673673</v>
      </c>
      <c r="AQ318" s="2" t="n">
        <v>168314.430452388</v>
      </c>
      <c r="AR318" s="2" t="n">
        <v>97628.2454444793</v>
      </c>
      <c r="AS318" s="2" t="n">
        <v>121878.208618668</v>
      </c>
    </row>
    <row r="319">
      <c r="A319" s="2" t="s">
        <v>2193</v>
      </c>
      <c r="B319" s="2" t="n">
        <v>330.166218467806</v>
      </c>
      <c r="C319" s="2" t="n">
        <v>1.86611666666667</v>
      </c>
      <c r="D319" s="2" t="s">
        <v>59</v>
      </c>
      <c r="E319" s="2" t="s">
        <v>2194</v>
      </c>
      <c r="F319" s="2" t="n">
        <v>262151</v>
      </c>
      <c r="G319" s="5" t="str">
        <f>HYPERLINK("http://funmeta.oebiotech.com/network/262151", "http://funmeta.oebiotech.com/network/262151")</f>
      </c>
      <c r="H319" s="2"/>
      <c r="I319" s="2" t="n">
        <v>19501</v>
      </c>
      <c r="J319" s="2"/>
      <c r="K319" s="2"/>
      <c r="L319" s="2"/>
      <c r="M319" s="2"/>
      <c r="N319" s="2"/>
      <c r="O319" s="2" t="n">
        <v>145456260</v>
      </c>
      <c r="P319" s="2"/>
      <c r="Q319" s="2" t="s">
        <v>2195</v>
      </c>
      <c r="R319" s="2" t="s">
        <v>2196</v>
      </c>
      <c r="S319" s="2" t="s">
        <v>110</v>
      </c>
      <c r="T319" s="2" t="s">
        <v>111</v>
      </c>
      <c r="U319" s="2" t="s">
        <v>112</v>
      </c>
      <c r="V319" s="2" t="s">
        <v>122</v>
      </c>
      <c r="W319" s="2" t="n">
        <v>42.7</v>
      </c>
      <c r="X319" s="2" t="n">
        <v>0</v>
      </c>
      <c r="Y319" s="2" t="s">
        <v>93</v>
      </c>
      <c r="Z319" s="2" t="s">
        <v>1157</v>
      </c>
      <c r="AA319" s="2" t="n">
        <v>0.739019183605427</v>
      </c>
      <c r="AB319" s="2" t="n">
        <v>1.04135514544541</v>
      </c>
      <c r="AC319" s="2" t="n">
        <v>15778.1552449269</v>
      </c>
      <c r="AD319" s="2" t="n">
        <v>129348.83555456</v>
      </c>
      <c r="AE319" s="3" t="n">
        <v>0.121981424705379</v>
      </c>
      <c r="AF319" s="3" t="n">
        <v>-3.03526662353988</v>
      </c>
      <c r="AG319" s="3" t="s">
        <v>57</v>
      </c>
      <c r="AH319" s="2" t="n">
        <v>0.000276782832089969</v>
      </c>
      <c r="AI319" s="2" t="n">
        <v>0.00277730718501236</v>
      </c>
      <c r="AJ319" s="2" t="n">
        <v>6274.48781098216</v>
      </c>
      <c r="AK319" s="2" t="n">
        <v>33170.0705310892</v>
      </c>
      <c r="AL319" s="2" t="n">
        <v>27458.0471386514</v>
      </c>
      <c r="AM319" s="2" t="n">
        <v>11988.1707425478</v>
      </c>
      <c r="AN319" s="2" t="n">
        <v>0.00000136409140715624</v>
      </c>
      <c r="AO319" s="2" t="n">
        <v>112336.287662561</v>
      </c>
      <c r="AP319" s="2" t="n">
        <v>111475.076481885</v>
      </c>
      <c r="AQ319" s="2" t="n">
        <v>187356.203630042</v>
      </c>
      <c r="AR319" s="2" t="n">
        <v>87726.8692113738</v>
      </c>
      <c r="AS319" s="2" t="n">
        <v>147849.740786937</v>
      </c>
    </row>
    <row r="320">
      <c r="A320" s="2" t="s">
        <v>2197</v>
      </c>
      <c r="B320" s="2" t="n">
        <v>859.478301723246</v>
      </c>
      <c r="C320" s="2" t="n">
        <v>5.09986666666667</v>
      </c>
      <c r="D320" s="2" t="s">
        <v>46</v>
      </c>
      <c r="E320" s="2" t="s">
        <v>2198</v>
      </c>
      <c r="F320" s="2" t="n">
        <v>225448</v>
      </c>
      <c r="G320" s="5" t="str">
        <f>HYPERLINK("http://funmeta.oebiotech.com/network/225448", "http://funmeta.oebiotech.com/network/225448")</f>
      </c>
      <c r="H320" s="2" t="s">
        <v>2199</v>
      </c>
      <c r="I320" s="2"/>
      <c r="J320" s="2"/>
      <c r="K320" s="2"/>
      <c r="L320" s="2"/>
      <c r="M320" s="2"/>
      <c r="N320" s="2"/>
      <c r="O320" s="2"/>
      <c r="P320" s="2"/>
      <c r="Q320" s="2" t="s">
        <v>2200</v>
      </c>
      <c r="R320" s="2" t="s">
        <v>2201</v>
      </c>
      <c r="S320" s="2" t="s">
        <v>77</v>
      </c>
      <c r="T320" s="2" t="s">
        <v>77</v>
      </c>
      <c r="U320" s="2" t="s">
        <v>77</v>
      </c>
      <c r="V320" s="2" t="s">
        <v>54</v>
      </c>
      <c r="W320" s="2" t="n">
        <v>38.3</v>
      </c>
      <c r="X320" s="2" t="n">
        <v>0</v>
      </c>
      <c r="Y320" s="2" t="s">
        <v>290</v>
      </c>
      <c r="Z320" s="2" t="s">
        <v>2202</v>
      </c>
      <c r="AA320" s="2" t="n">
        <v>4.62891990833833</v>
      </c>
      <c r="AB320" s="2" t="n">
        <v>1.04128025746902</v>
      </c>
      <c r="AC320" s="2" t="n">
        <v>186097.503046368</v>
      </c>
      <c r="AD320" s="2" t="n">
        <v>34779.7464920644</v>
      </c>
      <c r="AE320" s="4" t="n">
        <v>5.35074351645518</v>
      </c>
      <c r="AF320" s="4" t="n">
        <v>2.41973937618156</v>
      </c>
      <c r="AG320" s="4" t="s">
        <v>72</v>
      </c>
      <c r="AH320" s="2" t="n">
        <v>0.0188793331237949</v>
      </c>
      <c r="AI320" s="2" t="n">
        <v>0.0555107336203905</v>
      </c>
      <c r="AJ320" s="2" t="n">
        <v>251420.119539776</v>
      </c>
      <c r="AK320" s="2" t="n">
        <v>47950.7778292424</v>
      </c>
      <c r="AL320" s="2" t="n">
        <v>74770.6425541994</v>
      </c>
      <c r="AM320" s="2" t="n">
        <v>265295.094680395</v>
      </c>
      <c r="AN320" s="2" t="n">
        <v>291050.880628229</v>
      </c>
      <c r="AO320" s="2" t="n">
        <v>44882.2795078033</v>
      </c>
      <c r="AP320" s="2" t="n">
        <v>34527.4276084765</v>
      </c>
      <c r="AQ320" s="2" t="n">
        <v>28464.2565359239</v>
      </c>
      <c r="AR320" s="2" t="n">
        <v>35536.8172005847</v>
      </c>
      <c r="AS320" s="2" t="n">
        <v>30487.9516075336</v>
      </c>
    </row>
    <row r="321">
      <c r="A321" s="2" t="s">
        <v>2203</v>
      </c>
      <c r="B321" s="2" t="n">
        <v>635.339315216744</v>
      </c>
      <c r="C321" s="2" t="n">
        <v>8.05745</v>
      </c>
      <c r="D321" s="2" t="s">
        <v>59</v>
      </c>
      <c r="E321" s="2" t="s">
        <v>2204</v>
      </c>
      <c r="F321" s="2" t="n">
        <v>37300</v>
      </c>
      <c r="G321" s="5" t="str">
        <f>HYPERLINK("http://funmeta.oebiotech.com/network/37300", "http://funmeta.oebiotech.com/network/37300")</f>
      </c>
      <c r="H321" s="2"/>
      <c r="I321" s="2"/>
      <c r="J321" s="2" t="s">
        <v>2205</v>
      </c>
      <c r="K321" s="2"/>
      <c r="L321" s="2"/>
      <c r="M321" s="2"/>
      <c r="N321" s="2"/>
      <c r="O321" s="2"/>
      <c r="P321" s="2"/>
      <c r="Q321" s="2" t="s">
        <v>2206</v>
      </c>
      <c r="R321" s="2" t="s">
        <v>2207</v>
      </c>
      <c r="S321" s="2" t="s">
        <v>66</v>
      </c>
      <c r="T321" s="2" t="s">
        <v>211</v>
      </c>
      <c r="U321" s="2" t="s">
        <v>212</v>
      </c>
      <c r="V321" s="2" t="s">
        <v>54</v>
      </c>
      <c r="W321" s="2" t="n">
        <v>37.7</v>
      </c>
      <c r="X321" s="2" t="n">
        <v>1.22</v>
      </c>
      <c r="Y321" s="2" t="s">
        <v>93</v>
      </c>
      <c r="Z321" s="2" t="s">
        <v>2208</v>
      </c>
      <c r="AA321" s="2" t="n">
        <v>-1.18271733252634</v>
      </c>
      <c r="AB321" s="2" t="n">
        <v>1.04070498530324</v>
      </c>
      <c r="AC321" s="2" t="n">
        <v>19512.262754533</v>
      </c>
      <c r="AD321" s="2" t="n">
        <v>159257.744189252</v>
      </c>
      <c r="AE321" s="3" t="n">
        <v>0.122520024717579</v>
      </c>
      <c r="AF321" s="3" t="n">
        <v>-3.02891053178394</v>
      </c>
      <c r="AG321" s="3" t="s">
        <v>57</v>
      </c>
      <c r="AH321" s="2" t="n">
        <v>0.0299328842301743</v>
      </c>
      <c r="AI321" s="2" t="n">
        <v>0.0757816300455164</v>
      </c>
      <c r="AJ321" s="2" t="n">
        <v>88159.971930934</v>
      </c>
      <c r="AK321" s="2" t="n">
        <v>0.00000136409140715624</v>
      </c>
      <c r="AL321" s="2" t="n">
        <v>8594.876348228</v>
      </c>
      <c r="AM321" s="2" t="n">
        <v>517.430112858939</v>
      </c>
      <c r="AN321" s="2" t="n">
        <v>289.035379280113</v>
      </c>
      <c r="AO321" s="2" t="n">
        <v>267789.111330931</v>
      </c>
      <c r="AP321" s="2" t="n">
        <v>55022.1193300949</v>
      </c>
      <c r="AQ321" s="2" t="n">
        <v>244088.154818844</v>
      </c>
      <c r="AR321" s="2" t="n">
        <v>23900.8792153459</v>
      </c>
      <c r="AS321" s="2" t="n">
        <v>205488.456251043</v>
      </c>
    </row>
    <row r="322">
      <c r="A322" s="2" t="s">
        <v>2209</v>
      </c>
      <c r="B322" s="2" t="n">
        <v>387.194356499635</v>
      </c>
      <c r="C322" s="2" t="n">
        <v>6.87581666666667</v>
      </c>
      <c r="D322" s="2" t="s">
        <v>59</v>
      </c>
      <c r="E322" s="2" t="s">
        <v>2210</v>
      </c>
      <c r="F322" s="2" t="n">
        <v>202274</v>
      </c>
      <c r="G322" s="5" t="str">
        <f>HYPERLINK("http://funmeta.oebiotech.com/network/202274", "http://funmeta.oebiotech.com/network/202274")</f>
      </c>
      <c r="H322" s="2" t="s">
        <v>2211</v>
      </c>
      <c r="I322" s="2"/>
      <c r="J322" s="2"/>
      <c r="K322" s="2"/>
      <c r="L322" s="2"/>
      <c r="M322" s="2"/>
      <c r="N322" s="2"/>
      <c r="O322" s="2" t="n">
        <v>625566</v>
      </c>
      <c r="P322" s="2"/>
      <c r="Q322" s="2" t="s">
        <v>2212</v>
      </c>
      <c r="R322" s="2" t="s">
        <v>2213</v>
      </c>
      <c r="S322" s="2" t="s">
        <v>66</v>
      </c>
      <c r="T322" s="2" t="s">
        <v>1210</v>
      </c>
      <c r="U322" s="2" t="s">
        <v>2214</v>
      </c>
      <c r="V322" s="2" t="s">
        <v>54</v>
      </c>
      <c r="W322" s="2" t="n">
        <v>39.1</v>
      </c>
      <c r="X322" s="2" t="n">
        <v>7.49</v>
      </c>
      <c r="Y322" s="2" t="s">
        <v>267</v>
      </c>
      <c r="Z322" s="2" t="s">
        <v>2215</v>
      </c>
      <c r="AA322" s="2" t="n">
        <v>3.27058254638085</v>
      </c>
      <c r="AB322" s="2" t="n">
        <v>1.03982158527994</v>
      </c>
      <c r="AC322" s="2" t="n">
        <v>2188.65525727293</v>
      </c>
      <c r="AD322" s="2" t="n">
        <v>122668.726743723</v>
      </c>
      <c r="AE322" s="3" t="n">
        <v>0.0178419986525615</v>
      </c>
      <c r="AF322" s="3" t="n">
        <v>-5.8085789554228</v>
      </c>
      <c r="AG322" s="3" t="s">
        <v>57</v>
      </c>
      <c r="AH322" s="2" t="n">
        <v>0.000149076697605667</v>
      </c>
      <c r="AI322" s="2" t="n">
        <v>0.00184691215215477</v>
      </c>
      <c r="AJ322" s="2" t="n">
        <v>0.00000136409140715624</v>
      </c>
      <c r="AK322" s="2" t="n">
        <v>0.00000136409140715624</v>
      </c>
      <c r="AL322" s="2" t="n">
        <v>3114.10854948677</v>
      </c>
      <c r="AM322" s="2" t="n">
        <v>7829.16773278563</v>
      </c>
      <c r="AN322" s="2" t="n">
        <v>0.00000136409140715624</v>
      </c>
      <c r="AO322" s="2" t="n">
        <v>73509.0169283407</v>
      </c>
      <c r="AP322" s="2" t="n">
        <v>136130.73877161</v>
      </c>
      <c r="AQ322" s="2" t="n">
        <v>122365.379123327</v>
      </c>
      <c r="AR322" s="2" t="n">
        <v>101114.338933673</v>
      </c>
      <c r="AS322" s="2" t="n">
        <v>180224.159961664</v>
      </c>
    </row>
    <row r="323">
      <c r="A323" s="2" t="s">
        <v>2216</v>
      </c>
      <c r="B323" s="2" t="n">
        <v>300.192148739725</v>
      </c>
      <c r="C323" s="2" t="n">
        <v>3.85586666666667</v>
      </c>
      <c r="D323" s="2" t="s">
        <v>59</v>
      </c>
      <c r="E323" s="2" t="s">
        <v>2217</v>
      </c>
      <c r="F323" s="2" t="n">
        <v>260418</v>
      </c>
      <c r="G323" s="5" t="str">
        <f>HYPERLINK("http://funmeta.oebiotech.com/network/260418", "http://funmeta.oebiotech.com/network/260418")</f>
      </c>
      <c r="H323" s="2"/>
      <c r="I323" s="2" t="n">
        <v>17673</v>
      </c>
      <c r="J323" s="2"/>
      <c r="K323" s="2"/>
      <c r="L323" s="2"/>
      <c r="M323" s="2"/>
      <c r="N323" s="2"/>
      <c r="O323" s="2" t="n">
        <v>145457375</v>
      </c>
      <c r="P323" s="2"/>
      <c r="Q323" s="2" t="s">
        <v>2218</v>
      </c>
      <c r="R323" s="2" t="s">
        <v>2219</v>
      </c>
      <c r="S323" s="2" t="s">
        <v>110</v>
      </c>
      <c r="T323" s="2" t="s">
        <v>111</v>
      </c>
      <c r="U323" s="2" t="s">
        <v>112</v>
      </c>
      <c r="V323" s="2" t="s">
        <v>92</v>
      </c>
      <c r="W323" s="2" t="n">
        <v>50.6</v>
      </c>
      <c r="X323" s="2" t="n">
        <v>49.3</v>
      </c>
      <c r="Y323" s="2" t="s">
        <v>248</v>
      </c>
      <c r="Z323" s="2" t="s">
        <v>2220</v>
      </c>
      <c r="AA323" s="2" t="n">
        <v>1.22336995201981</v>
      </c>
      <c r="AB323" s="2" t="n">
        <v>1.03528291519084</v>
      </c>
      <c r="AC323" s="2" t="n">
        <v>54511.0041543885</v>
      </c>
      <c r="AD323" s="2" t="n">
        <v>169957.06699903</v>
      </c>
      <c r="AE323" s="3" t="n">
        <v>0.320733966035668</v>
      </c>
      <c r="AF323" s="3" t="n">
        <v>-1.64055095022407</v>
      </c>
      <c r="AG323" s="3" t="s">
        <v>57</v>
      </c>
      <c r="AH323" s="2" t="n">
        <v>0.000463396546419593</v>
      </c>
      <c r="AI323" s="2" t="n">
        <v>0.00395846029448807</v>
      </c>
      <c r="AJ323" s="2" t="n">
        <v>37071.0879354764</v>
      </c>
      <c r="AK323" s="2" t="n">
        <v>94865.0292720798</v>
      </c>
      <c r="AL323" s="2" t="n">
        <v>88492.9043112696</v>
      </c>
      <c r="AM323" s="2" t="n">
        <v>46840.6510864262</v>
      </c>
      <c r="AN323" s="2" t="n">
        <v>5285.34816669072</v>
      </c>
      <c r="AO323" s="2" t="n">
        <v>175377.689326092</v>
      </c>
      <c r="AP323" s="2" t="n">
        <v>155457.185273917</v>
      </c>
      <c r="AQ323" s="2" t="n">
        <v>198300.849789178</v>
      </c>
      <c r="AR323" s="2" t="n">
        <v>133347.527948663</v>
      </c>
      <c r="AS323" s="2" t="n">
        <v>187302.082657298</v>
      </c>
    </row>
    <row r="324">
      <c r="A324" s="2" t="s">
        <v>2221</v>
      </c>
      <c r="B324" s="2" t="n">
        <v>347.156029568925</v>
      </c>
      <c r="C324" s="2" t="n">
        <v>0.781466666666667</v>
      </c>
      <c r="D324" s="2" t="s">
        <v>59</v>
      </c>
      <c r="E324" s="2" t="s">
        <v>2222</v>
      </c>
      <c r="F324" s="2" t="n">
        <v>264739</v>
      </c>
      <c r="G324" s="5" t="str">
        <f>HYPERLINK("http://funmeta.oebiotech.com/network/264739", "http://funmeta.oebiotech.com/network/264739")</f>
      </c>
      <c r="H324" s="2"/>
      <c r="I324" s="2" t="n">
        <v>22204</v>
      </c>
      <c r="J324" s="2"/>
      <c r="K324" s="2"/>
      <c r="L324" s="2"/>
      <c r="M324" s="2"/>
      <c r="N324" s="2"/>
      <c r="O324" s="2" t="n">
        <v>145454316</v>
      </c>
      <c r="P324" s="2"/>
      <c r="Q324" s="2" t="s">
        <v>2223</v>
      </c>
      <c r="R324" s="2" t="s">
        <v>2224</v>
      </c>
      <c r="S324" s="2" t="s">
        <v>110</v>
      </c>
      <c r="T324" s="2" t="s">
        <v>580</v>
      </c>
      <c r="U324" s="2" t="s">
        <v>581</v>
      </c>
      <c r="V324" s="2" t="s">
        <v>69</v>
      </c>
      <c r="W324" s="2" t="n">
        <v>48</v>
      </c>
      <c r="X324" s="2" t="n">
        <v>48.3</v>
      </c>
      <c r="Y324" s="2" t="s">
        <v>248</v>
      </c>
      <c r="Z324" s="2" t="s">
        <v>2225</v>
      </c>
      <c r="AA324" s="2" t="n">
        <v>-0.277119903205781</v>
      </c>
      <c r="AB324" s="2" t="n">
        <v>1.0346020259183</v>
      </c>
      <c r="AC324" s="2" t="n">
        <v>41934.153343206</v>
      </c>
      <c r="AD324" s="2" t="n">
        <v>155383.848088441</v>
      </c>
      <c r="AE324" s="3" t="n">
        <v>0.269874596742759</v>
      </c>
      <c r="AF324" s="3" t="n">
        <v>-1.88963891236967</v>
      </c>
      <c r="AG324" s="3" t="s">
        <v>57</v>
      </c>
      <c r="AH324" s="2" t="n">
        <v>0.0000949967043007499</v>
      </c>
      <c r="AI324" s="2" t="n">
        <v>0.00137452021531455</v>
      </c>
      <c r="AJ324" s="2" t="n">
        <v>16992.3233961601</v>
      </c>
      <c r="AK324" s="2" t="n">
        <v>62961.8763255177</v>
      </c>
      <c r="AL324" s="2" t="n">
        <v>63109.2391241762</v>
      </c>
      <c r="AM324" s="2" t="n">
        <v>62787.2178239278</v>
      </c>
      <c r="AN324" s="2" t="n">
        <v>3820.11004624836</v>
      </c>
      <c r="AO324" s="2" t="n">
        <v>134780.290384675</v>
      </c>
      <c r="AP324" s="2" t="n">
        <v>155530.727026864</v>
      </c>
      <c r="AQ324" s="2" t="n">
        <v>175731.684257435</v>
      </c>
      <c r="AR324" s="2" t="n">
        <v>135875.877216673</v>
      </c>
      <c r="AS324" s="2" t="n">
        <v>175000.661556556</v>
      </c>
    </row>
    <row r="325">
      <c r="A325" s="2" t="s">
        <v>2226</v>
      </c>
      <c r="B325" s="2" t="n">
        <v>313.154643816209</v>
      </c>
      <c r="C325" s="2" t="n">
        <v>4.6548</v>
      </c>
      <c r="D325" s="2" t="s">
        <v>59</v>
      </c>
      <c r="E325" s="2" t="s">
        <v>2227</v>
      </c>
      <c r="F325" s="2" t="n">
        <v>52240</v>
      </c>
      <c r="G325" s="5" t="str">
        <f>HYPERLINK("http://funmeta.oebiotech.com/network/52240", "http://funmeta.oebiotech.com/network/52240")</f>
      </c>
      <c r="H325" s="2" t="s">
        <v>2228</v>
      </c>
      <c r="I325" s="2"/>
      <c r="J325" s="2"/>
      <c r="K325" s="2" t="n">
        <v>72723</v>
      </c>
      <c r="L325" s="2"/>
      <c r="M325" s="2"/>
      <c r="N325" s="2"/>
      <c r="O325" s="2" t="n">
        <v>6993089</v>
      </c>
      <c r="P325" s="2" t="s">
        <v>2229</v>
      </c>
      <c r="Q325" s="2" t="s">
        <v>2230</v>
      </c>
      <c r="R325" s="2" t="s">
        <v>2231</v>
      </c>
      <c r="S325" s="2" t="s">
        <v>110</v>
      </c>
      <c r="T325" s="2" t="s">
        <v>111</v>
      </c>
      <c r="U325" s="2" t="s">
        <v>112</v>
      </c>
      <c r="V325" s="2" t="s">
        <v>92</v>
      </c>
      <c r="W325" s="2" t="n">
        <v>58</v>
      </c>
      <c r="X325" s="2" t="n">
        <v>78.2</v>
      </c>
      <c r="Y325" s="2" t="s">
        <v>248</v>
      </c>
      <c r="Z325" s="2" t="s">
        <v>2232</v>
      </c>
      <c r="AA325" s="2" t="n">
        <v>-0.0804923320044127</v>
      </c>
      <c r="AB325" s="2" t="n">
        <v>1.03052416898409</v>
      </c>
      <c r="AC325" s="2" t="n">
        <v>52034.2502283485</v>
      </c>
      <c r="AD325" s="2" t="n">
        <v>172574.963004815</v>
      </c>
      <c r="AE325" s="3" t="n">
        <v>0.301516797815548</v>
      </c>
      <c r="AF325" s="3" t="n">
        <v>-1.72968971647636</v>
      </c>
      <c r="AG325" s="3" t="s">
        <v>57</v>
      </c>
      <c r="AH325" s="2" t="n">
        <v>0.00157220219370444</v>
      </c>
      <c r="AI325" s="2" t="n">
        <v>0.00930616652031113</v>
      </c>
      <c r="AJ325" s="2" t="n">
        <v>21820.4210339912</v>
      </c>
      <c r="AK325" s="2" t="n">
        <v>121289.745320548</v>
      </c>
      <c r="AL325" s="2" t="n">
        <v>90148.7936529178</v>
      </c>
      <c r="AM325" s="2" t="n">
        <v>25590.5100900891</v>
      </c>
      <c r="AN325" s="2" t="n">
        <v>1321.78104419635</v>
      </c>
      <c r="AO325" s="2" t="n">
        <v>183360.453311667</v>
      </c>
      <c r="AP325" s="2" t="n">
        <v>174460.990938321</v>
      </c>
      <c r="AQ325" s="2" t="n">
        <v>210141.788663386</v>
      </c>
      <c r="AR325" s="2" t="n">
        <v>144703.284736181</v>
      </c>
      <c r="AS325" s="2" t="n">
        <v>150208.29737452</v>
      </c>
    </row>
    <row r="326">
      <c r="A326" s="2" t="s">
        <v>2233</v>
      </c>
      <c r="B326" s="2" t="n">
        <v>288.119993081856</v>
      </c>
      <c r="C326" s="2" t="n">
        <v>1.0628</v>
      </c>
      <c r="D326" s="2" t="s">
        <v>46</v>
      </c>
      <c r="E326" s="2" t="s">
        <v>2234</v>
      </c>
      <c r="F326" s="2" t="n">
        <v>54042</v>
      </c>
      <c r="G326" s="5" t="str">
        <f>HYPERLINK("http://funmeta.oebiotech.com/network/54042", "http://funmeta.oebiotech.com/network/54042")</f>
      </c>
      <c r="H326" s="2" t="s">
        <v>2235</v>
      </c>
      <c r="I326" s="2" t="n">
        <v>85924</v>
      </c>
      <c r="J326" s="2"/>
      <c r="K326" s="2" t="n">
        <v>176385</v>
      </c>
      <c r="L326" s="2"/>
      <c r="M326" s="2"/>
      <c r="N326" s="2"/>
      <c r="O326" s="2" t="n">
        <v>131750782</v>
      </c>
      <c r="P326" s="2"/>
      <c r="Q326" s="2" t="s">
        <v>2236</v>
      </c>
      <c r="R326" s="2" t="s">
        <v>2237</v>
      </c>
      <c r="S326" s="2" t="s">
        <v>110</v>
      </c>
      <c r="T326" s="2" t="s">
        <v>111</v>
      </c>
      <c r="U326" s="2" t="s">
        <v>112</v>
      </c>
      <c r="V326" s="2" t="s">
        <v>122</v>
      </c>
      <c r="W326" s="2" t="n">
        <v>50.8</v>
      </c>
      <c r="X326" s="2" t="n">
        <v>0</v>
      </c>
      <c r="Y326" s="2" t="s">
        <v>131</v>
      </c>
      <c r="Z326" s="2" t="s">
        <v>2238</v>
      </c>
      <c r="AA326" s="2" t="n">
        <v>-0.476411095788005</v>
      </c>
      <c r="AB326" s="2" t="n">
        <v>1.02860473868578</v>
      </c>
      <c r="AC326" s="2" t="n">
        <v>16942.9965990068</v>
      </c>
      <c r="AD326" s="2" t="n">
        <v>123938.94427204</v>
      </c>
      <c r="AE326" s="3" t="n">
        <v>0.136704380519958</v>
      </c>
      <c r="AF326" s="3" t="n">
        <v>-2.87086862185441</v>
      </c>
      <c r="AG326" s="3" t="s">
        <v>57</v>
      </c>
      <c r="AH326" s="2" t="n">
        <v>0.00000260227109192088</v>
      </c>
      <c r="AI326" s="2" t="n">
        <v>0.000347181086776329</v>
      </c>
      <c r="AJ326" s="2" t="n">
        <v>13705.6807952639</v>
      </c>
      <c r="AK326" s="2" t="n">
        <v>21379.9705696057</v>
      </c>
      <c r="AL326" s="2" t="n">
        <v>31182.9172168382</v>
      </c>
      <c r="AM326" s="2" t="n">
        <v>15374.7437994388</v>
      </c>
      <c r="AN326" s="2" t="n">
        <v>3071.67061388734</v>
      </c>
      <c r="AO326" s="2" t="n">
        <v>128089.131363285</v>
      </c>
      <c r="AP326" s="2" t="n">
        <v>115369.313243568</v>
      </c>
      <c r="AQ326" s="2" t="n">
        <v>149147.431929064</v>
      </c>
      <c r="AR326" s="2" t="n">
        <v>101235.174168156</v>
      </c>
      <c r="AS326" s="2" t="n">
        <v>125853.670656127</v>
      </c>
    </row>
    <row r="327">
      <c r="A327" s="2" t="s">
        <v>2239</v>
      </c>
      <c r="B327" s="2" t="n">
        <v>316.187157396003</v>
      </c>
      <c r="C327" s="2" t="n">
        <v>3.89303333333333</v>
      </c>
      <c r="D327" s="2" t="s">
        <v>59</v>
      </c>
      <c r="E327" s="2" t="s">
        <v>2240</v>
      </c>
      <c r="F327" s="2" t="n">
        <v>265478</v>
      </c>
      <c r="G327" s="5" t="str">
        <f>HYPERLINK("http://funmeta.oebiotech.com/network/265478", "http://funmeta.oebiotech.com/network/265478")</f>
      </c>
      <c r="H327" s="2"/>
      <c r="I327" s="2" t="n">
        <v>22974</v>
      </c>
      <c r="J327" s="2"/>
      <c r="K327" s="2"/>
      <c r="L327" s="2"/>
      <c r="M327" s="2"/>
      <c r="N327" s="2"/>
      <c r="O327" s="2" t="n">
        <v>145457573</v>
      </c>
      <c r="P327" s="2"/>
      <c r="Q327" s="2" t="s">
        <v>2241</v>
      </c>
      <c r="R327" s="2" t="s">
        <v>2242</v>
      </c>
      <c r="S327" s="2" t="s">
        <v>77</v>
      </c>
      <c r="T327" s="2" t="s">
        <v>77</v>
      </c>
      <c r="U327" s="2" t="s">
        <v>77</v>
      </c>
      <c r="V327" s="2" t="s">
        <v>92</v>
      </c>
      <c r="W327" s="2" t="n">
        <v>64</v>
      </c>
      <c r="X327" s="2" t="n">
        <v>69.4</v>
      </c>
      <c r="Y327" s="2" t="s">
        <v>248</v>
      </c>
      <c r="Z327" s="2" t="s">
        <v>2243</v>
      </c>
      <c r="AA327" s="2" t="n">
        <v>1.45964495851853</v>
      </c>
      <c r="AB327" s="2" t="n">
        <v>1.02767081262605</v>
      </c>
      <c r="AC327" s="2" t="n">
        <v>33621.7954283606</v>
      </c>
      <c r="AD327" s="2" t="n">
        <v>141402.338680108</v>
      </c>
      <c r="AE327" s="3" t="n">
        <v>0.237773969951251</v>
      </c>
      <c r="AF327" s="3" t="n">
        <v>-2.07233730864202</v>
      </c>
      <c r="AG327" s="3" t="s">
        <v>57</v>
      </c>
      <c r="AH327" s="2" t="n">
        <v>0.0000955828499930544</v>
      </c>
      <c r="AI327" s="2" t="n">
        <v>0.00137959482994901</v>
      </c>
      <c r="AJ327" s="2" t="n">
        <v>26064.2765172346</v>
      </c>
      <c r="AK327" s="2" t="n">
        <v>40077.5188718021</v>
      </c>
      <c r="AL327" s="2" t="n">
        <v>54195.3173345747</v>
      </c>
      <c r="AM327" s="2" t="n">
        <v>37750.0992561201</v>
      </c>
      <c r="AN327" s="2" t="n">
        <v>10021.7651620715</v>
      </c>
      <c r="AO327" s="2" t="n">
        <v>153997.709799813</v>
      </c>
      <c r="AP327" s="2" t="n">
        <v>123762.419904649</v>
      </c>
      <c r="AQ327" s="2" t="n">
        <v>181980.957176963</v>
      </c>
      <c r="AR327" s="2" t="n">
        <v>105188.450684485</v>
      </c>
      <c r="AS327" s="2" t="n">
        <v>142082.155834629</v>
      </c>
    </row>
    <row r="328">
      <c r="A328" s="2" t="s">
        <v>2244</v>
      </c>
      <c r="B328" s="2" t="n">
        <v>144.08097439313</v>
      </c>
      <c r="C328" s="2" t="n">
        <v>3.64293333333333</v>
      </c>
      <c r="D328" s="2" t="s">
        <v>59</v>
      </c>
      <c r="E328" s="2" t="s">
        <v>2245</v>
      </c>
      <c r="F328" s="2" t="n">
        <v>64991</v>
      </c>
      <c r="G328" s="5" t="str">
        <f>HYPERLINK("http://funmeta.oebiotech.com/network/64991", "http://funmeta.oebiotech.com/network/64991")</f>
      </c>
      <c r="H328" s="2" t="s">
        <v>2246</v>
      </c>
      <c r="I328" s="2" t="n">
        <v>96204</v>
      </c>
      <c r="J328" s="2"/>
      <c r="K328" s="2" t="n">
        <v>132813</v>
      </c>
      <c r="L328" s="2"/>
      <c r="M328" s="2"/>
      <c r="N328" s="2"/>
      <c r="O328" s="2" t="n">
        <v>7060</v>
      </c>
      <c r="P328" s="2" t="s">
        <v>2247</v>
      </c>
      <c r="Q328" s="2" t="s">
        <v>2248</v>
      </c>
      <c r="R328" s="2" t="s">
        <v>2249</v>
      </c>
      <c r="S328" s="2" t="s">
        <v>51</v>
      </c>
      <c r="T328" s="2" t="s">
        <v>227</v>
      </c>
      <c r="U328" s="2" t="s">
        <v>77</v>
      </c>
      <c r="V328" s="2" t="s">
        <v>122</v>
      </c>
      <c r="W328" s="2" t="n">
        <v>43.2</v>
      </c>
      <c r="X328" s="2" t="n">
        <v>13.7</v>
      </c>
      <c r="Y328" s="2" t="s">
        <v>248</v>
      </c>
      <c r="Z328" s="2" t="s">
        <v>2250</v>
      </c>
      <c r="AA328" s="2" t="n">
        <v>1.38857091505663</v>
      </c>
      <c r="AB328" s="2" t="n">
        <v>1.02747309068973</v>
      </c>
      <c r="AC328" s="2" t="n">
        <v>172014.687131785</v>
      </c>
      <c r="AD328" s="2" t="n">
        <v>290780.541029394</v>
      </c>
      <c r="AE328" s="3" t="n">
        <v>0.591561892425245</v>
      </c>
      <c r="AF328" s="3" t="n">
        <v>-0.757398975817303</v>
      </c>
      <c r="AG328" s="3" t="s">
        <v>57</v>
      </c>
      <c r="AH328" s="2" t="n">
        <v>0.0000990428547196813</v>
      </c>
      <c r="AI328" s="2" t="n">
        <v>0.00141260303597661</v>
      </c>
      <c r="AJ328" s="2" t="n">
        <v>179773.720357306</v>
      </c>
      <c r="AK328" s="2" t="n">
        <v>181118.140000361</v>
      </c>
      <c r="AL328" s="2" t="n">
        <v>182615.007550992</v>
      </c>
      <c r="AM328" s="2" t="n">
        <v>194020.993601777</v>
      </c>
      <c r="AN328" s="2" t="n">
        <v>122545.57414849</v>
      </c>
      <c r="AO328" s="2" t="n">
        <v>267280.057491845</v>
      </c>
      <c r="AP328" s="2" t="n">
        <v>280599.048948116</v>
      </c>
      <c r="AQ328" s="2" t="n">
        <v>330183.042726866</v>
      </c>
      <c r="AR328" s="2" t="n">
        <v>279618.469870701</v>
      </c>
      <c r="AS328" s="2" t="n">
        <v>296222.086109444</v>
      </c>
    </row>
    <row r="329">
      <c r="A329" s="2" t="s">
        <v>2251</v>
      </c>
      <c r="B329" s="2" t="n">
        <v>625.123622157911</v>
      </c>
      <c r="C329" s="2" t="n">
        <v>1.27701666666667</v>
      </c>
      <c r="D329" s="2" t="s">
        <v>46</v>
      </c>
      <c r="E329" s="2" t="s">
        <v>2252</v>
      </c>
      <c r="F329" s="2" t="n">
        <v>212563</v>
      </c>
      <c r="G329" s="5" t="str">
        <f>HYPERLINK("http://funmeta.oebiotech.com/network/212563", "http://funmeta.oebiotech.com/network/212563")</f>
      </c>
      <c r="H329" s="2" t="s">
        <v>2253</v>
      </c>
      <c r="I329" s="2" t="n">
        <v>72443</v>
      </c>
      <c r="J329" s="2"/>
      <c r="K329" s="2" t="n">
        <v>38963</v>
      </c>
      <c r="L329" s="2" t="s">
        <v>2254</v>
      </c>
      <c r="M329" s="2"/>
      <c r="N329" s="2"/>
      <c r="O329" s="2" t="n">
        <v>32184</v>
      </c>
      <c r="P329" s="2" t="s">
        <v>2255</v>
      </c>
      <c r="Q329" s="2" t="s">
        <v>2256</v>
      </c>
      <c r="R329" s="2" t="s">
        <v>2257</v>
      </c>
      <c r="S329" s="2" t="s">
        <v>51</v>
      </c>
      <c r="T329" s="2" t="s">
        <v>2258</v>
      </c>
      <c r="U329" s="2" t="s">
        <v>2259</v>
      </c>
      <c r="V329" s="2" t="s">
        <v>54</v>
      </c>
      <c r="W329" s="2" t="n">
        <v>37.9</v>
      </c>
      <c r="X329" s="2" t="n">
        <v>0</v>
      </c>
      <c r="Y329" s="2" t="s">
        <v>85</v>
      </c>
      <c r="Z329" s="2" t="s">
        <v>2260</v>
      </c>
      <c r="AA329" s="2" t="n">
        <v>1.43829159118502</v>
      </c>
      <c r="AB329" s="2" t="n">
        <v>1.02725242434806</v>
      </c>
      <c r="AC329" s="2" t="n">
        <v>160362.849438819</v>
      </c>
      <c r="AD329" s="2" t="n">
        <v>37123.4132792843</v>
      </c>
      <c r="AE329" s="4" t="n">
        <v>4.3197226567608</v>
      </c>
      <c r="AF329" s="4" t="n">
        <v>2.11093868864795</v>
      </c>
      <c r="AG329" s="4" t="s">
        <v>72</v>
      </c>
      <c r="AH329" s="2" t="n">
        <v>0.0268961753256457</v>
      </c>
      <c r="AI329" s="2" t="n">
        <v>0.0704687883656035</v>
      </c>
      <c r="AJ329" s="2" t="n">
        <v>310951.248868984</v>
      </c>
      <c r="AK329" s="2" t="n">
        <v>78022.7994167328</v>
      </c>
      <c r="AL329" s="2" t="n">
        <v>76449.5639149279</v>
      </c>
      <c r="AM329" s="2" t="n">
        <v>216394.714174872</v>
      </c>
      <c r="AN329" s="2" t="n">
        <v>119995.920818579</v>
      </c>
      <c r="AO329" s="2" t="n">
        <v>25942.9059600449</v>
      </c>
      <c r="AP329" s="2" t="n">
        <v>42730.2520731511</v>
      </c>
      <c r="AQ329" s="2" t="n">
        <v>30825.4166498422</v>
      </c>
      <c r="AR329" s="2" t="n">
        <v>41828.333761594</v>
      </c>
      <c r="AS329" s="2" t="n">
        <v>44290.1579517891</v>
      </c>
    </row>
    <row r="330">
      <c r="A330" s="2" t="s">
        <v>2261</v>
      </c>
      <c r="B330" s="2" t="n">
        <v>330.167032611024</v>
      </c>
      <c r="C330" s="2" t="n">
        <v>2.97745</v>
      </c>
      <c r="D330" s="2" t="s">
        <v>46</v>
      </c>
      <c r="E330" s="2" t="s">
        <v>2262</v>
      </c>
      <c r="F330" s="2" t="n">
        <v>264578</v>
      </c>
      <c r="G330" s="5" t="str">
        <f>HYPERLINK("http://funmeta.oebiotech.com/network/264578", "http://funmeta.oebiotech.com/network/264578")</f>
      </c>
      <c r="H330" s="2"/>
      <c r="I330" s="2" t="n">
        <v>22042</v>
      </c>
      <c r="J330" s="2"/>
      <c r="K330" s="2"/>
      <c r="L330" s="2"/>
      <c r="M330" s="2"/>
      <c r="N330" s="2"/>
      <c r="O330" s="2" t="n">
        <v>101619735</v>
      </c>
      <c r="P330" s="2"/>
      <c r="Q330" s="2" t="s">
        <v>2263</v>
      </c>
      <c r="R330" s="2" t="s">
        <v>2264</v>
      </c>
      <c r="S330" s="2" t="s">
        <v>110</v>
      </c>
      <c r="T330" s="2" t="s">
        <v>111</v>
      </c>
      <c r="U330" s="2" t="s">
        <v>112</v>
      </c>
      <c r="V330" s="2" t="s">
        <v>122</v>
      </c>
      <c r="W330" s="2" t="n">
        <v>43.4</v>
      </c>
      <c r="X330" s="2" t="n">
        <v>0</v>
      </c>
      <c r="Y330" s="2" t="s">
        <v>131</v>
      </c>
      <c r="Z330" s="2" t="s">
        <v>1608</v>
      </c>
      <c r="AA330" s="2" t="n">
        <v>-0.09288961638772</v>
      </c>
      <c r="AB330" s="2" t="n">
        <v>1.02469448565517</v>
      </c>
      <c r="AC330" s="2" t="n">
        <v>14098.2775356148</v>
      </c>
      <c r="AD330" s="2" t="n">
        <v>119693.044111602</v>
      </c>
      <c r="AE330" s="3" t="n">
        <v>0.117786941089656</v>
      </c>
      <c r="AF330" s="3" t="n">
        <v>-3.08574849688657</v>
      </c>
      <c r="AG330" s="3" t="s">
        <v>57</v>
      </c>
      <c r="AH330" s="2" t="n">
        <v>0.00000146337332218333</v>
      </c>
      <c r="AI330" s="2" t="n">
        <v>0.000291400515714136</v>
      </c>
      <c r="AJ330" s="2" t="n">
        <v>1786.16778783205</v>
      </c>
      <c r="AK330" s="2" t="n">
        <v>26164.1449326631</v>
      </c>
      <c r="AL330" s="2" t="n">
        <v>31202.5236316852</v>
      </c>
      <c r="AM330" s="2" t="n">
        <v>11338.5513245296</v>
      </c>
      <c r="AN330" s="2" t="n">
        <v>0.00000136409140715624</v>
      </c>
      <c r="AO330" s="2" t="n">
        <v>127328.767573217</v>
      </c>
      <c r="AP330" s="2" t="n">
        <v>113063.674524094</v>
      </c>
      <c r="AQ330" s="2" t="n">
        <v>136435.047734552</v>
      </c>
      <c r="AR330" s="2" t="n">
        <v>105112.163368609</v>
      </c>
      <c r="AS330" s="2" t="n">
        <v>116525.567357537</v>
      </c>
    </row>
    <row r="331">
      <c r="A331" s="2" t="s">
        <v>2265</v>
      </c>
      <c r="B331" s="2" t="n">
        <v>286.177244502916</v>
      </c>
      <c r="C331" s="2" t="n">
        <v>4.0364</v>
      </c>
      <c r="D331" s="2" t="s">
        <v>46</v>
      </c>
      <c r="E331" s="2" t="s">
        <v>2266</v>
      </c>
      <c r="F331" s="2" t="n">
        <v>260185</v>
      </c>
      <c r="G331" s="5" t="str">
        <f>HYPERLINK("http://funmeta.oebiotech.com/network/260185", "http://funmeta.oebiotech.com/network/260185")</f>
      </c>
      <c r="H331" s="2"/>
      <c r="I331" s="2" t="n">
        <v>17429</v>
      </c>
      <c r="J331" s="2"/>
      <c r="K331" s="2"/>
      <c r="L331" s="2"/>
      <c r="M331" s="2"/>
      <c r="N331" s="2"/>
      <c r="O331" s="2" t="n">
        <v>10149437</v>
      </c>
      <c r="P331" s="2"/>
      <c r="Q331" s="2" t="s">
        <v>2267</v>
      </c>
      <c r="R331" s="2" t="s">
        <v>2268</v>
      </c>
      <c r="S331" s="2" t="s">
        <v>110</v>
      </c>
      <c r="T331" s="2" t="s">
        <v>111</v>
      </c>
      <c r="U331" s="2" t="s">
        <v>112</v>
      </c>
      <c r="V331" s="2" t="s">
        <v>122</v>
      </c>
      <c r="W331" s="2" t="n">
        <v>43.9</v>
      </c>
      <c r="X331" s="2" t="n">
        <v>0</v>
      </c>
      <c r="Y331" s="2" t="s">
        <v>290</v>
      </c>
      <c r="Z331" s="2" t="s">
        <v>693</v>
      </c>
      <c r="AA331" s="2" t="n">
        <v>0.0509795114233072</v>
      </c>
      <c r="AB331" s="2" t="n">
        <v>1.0233826021023</v>
      </c>
      <c r="AC331" s="2" t="n">
        <v>24446.3182236783</v>
      </c>
      <c r="AD331" s="2" t="n">
        <v>132488.574241258</v>
      </c>
      <c r="AE331" s="3" t="n">
        <v>0.184516426142245</v>
      </c>
      <c r="AF331" s="3" t="n">
        <v>-2.43817884034099</v>
      </c>
      <c r="AG331" s="3" t="s">
        <v>57</v>
      </c>
      <c r="AH331" s="2" t="n">
        <v>0.0000362064440846831</v>
      </c>
      <c r="AI331" s="2" t="n">
        <v>0.000809808253191768</v>
      </c>
      <c r="AJ331" s="2" t="n">
        <v>6105.18005531865</v>
      </c>
      <c r="AK331" s="2" t="n">
        <v>46784.3640733554</v>
      </c>
      <c r="AL331" s="2" t="n">
        <v>52729.8013605503</v>
      </c>
      <c r="AM331" s="2" t="n">
        <v>16239.2987622365</v>
      </c>
      <c r="AN331" s="2" t="n">
        <v>372.94686693057</v>
      </c>
      <c r="AO331" s="2" t="n">
        <v>127519.265979654</v>
      </c>
      <c r="AP331" s="2" t="n">
        <v>123282.606611537</v>
      </c>
      <c r="AQ331" s="2" t="n">
        <v>159227.63629482</v>
      </c>
      <c r="AR331" s="2" t="n">
        <v>114423.591736243</v>
      </c>
      <c r="AS331" s="2" t="n">
        <v>137989.770584034</v>
      </c>
    </row>
    <row r="332">
      <c r="A332" s="2" t="s">
        <v>2269</v>
      </c>
      <c r="B332" s="2" t="n">
        <v>269.160684791733</v>
      </c>
      <c r="C332" s="2" t="n">
        <v>0.749333333333333</v>
      </c>
      <c r="D332" s="2" t="s">
        <v>59</v>
      </c>
      <c r="E332" s="2" t="s">
        <v>2270</v>
      </c>
      <c r="F332" s="2" t="n">
        <v>53933</v>
      </c>
      <c r="G332" s="5" t="str">
        <f>HYPERLINK("http://funmeta.oebiotech.com/network/53933", "http://funmeta.oebiotech.com/network/53933")</f>
      </c>
      <c r="H332" s="2" t="s">
        <v>2271</v>
      </c>
      <c r="I332" s="2"/>
      <c r="J332" s="2"/>
      <c r="K332" s="2"/>
      <c r="L332" s="2"/>
      <c r="M332" s="2"/>
      <c r="N332" s="2"/>
      <c r="O332" s="2" t="n">
        <v>18218219</v>
      </c>
      <c r="P332" s="2"/>
      <c r="Q332" s="2" t="s">
        <v>2272</v>
      </c>
      <c r="R332" s="2" t="s">
        <v>2273</v>
      </c>
      <c r="S332" s="2" t="s">
        <v>110</v>
      </c>
      <c r="T332" s="2" t="s">
        <v>111</v>
      </c>
      <c r="U332" s="2" t="s">
        <v>112</v>
      </c>
      <c r="V332" s="2" t="s">
        <v>54</v>
      </c>
      <c r="W332" s="2" t="n">
        <v>47</v>
      </c>
      <c r="X332" s="2" t="n">
        <v>39.4</v>
      </c>
      <c r="Y332" s="2" t="s">
        <v>248</v>
      </c>
      <c r="Z332" s="2" t="s">
        <v>2274</v>
      </c>
      <c r="AA332" s="2" t="n">
        <v>-0.49285027668102</v>
      </c>
      <c r="AB332" s="2" t="n">
        <v>1.02258116769399</v>
      </c>
      <c r="AC332" s="2" t="n">
        <v>120139.339275457</v>
      </c>
      <c r="AD332" s="2" t="n">
        <v>270524.823095305</v>
      </c>
      <c r="AE332" s="3" t="n">
        <v>0.444097284311439</v>
      </c>
      <c r="AF332" s="3" t="n">
        <v>-1.17105234574491</v>
      </c>
      <c r="AG332" s="3" t="s">
        <v>57</v>
      </c>
      <c r="AH332" s="2" t="n">
        <v>0.0387012633549093</v>
      </c>
      <c r="AI332" s="2" t="n">
        <v>0.0896400803398294</v>
      </c>
      <c r="AJ332" s="2" t="n">
        <v>17096.4799190714</v>
      </c>
      <c r="AK332" s="2" t="n">
        <v>263567.433543508</v>
      </c>
      <c r="AL332" s="2" t="n">
        <v>214908.560466667</v>
      </c>
      <c r="AM332" s="2" t="n">
        <v>105124.222446676</v>
      </c>
      <c r="AN332" s="2" t="n">
        <v>0.00000136409140715624</v>
      </c>
      <c r="AO332" s="2" t="n">
        <v>176611.054547105</v>
      </c>
      <c r="AP332" s="2" t="n">
        <v>273852.111782687</v>
      </c>
      <c r="AQ332" s="2" t="n">
        <v>327625.989757364</v>
      </c>
      <c r="AR332" s="2" t="n">
        <v>229611.368747242</v>
      </c>
      <c r="AS332" s="2" t="n">
        <v>344923.590642127</v>
      </c>
    </row>
    <row r="333">
      <c r="A333" s="2" t="s">
        <v>2275</v>
      </c>
      <c r="B333" s="2" t="n">
        <v>293.175971430418</v>
      </c>
      <c r="C333" s="2" t="n">
        <v>8.96523333333333</v>
      </c>
      <c r="D333" s="2" t="s">
        <v>46</v>
      </c>
      <c r="E333" s="2" t="s">
        <v>2276</v>
      </c>
      <c r="F333" s="2" t="n">
        <v>1504</v>
      </c>
      <c r="G333" s="5" t="str">
        <f>HYPERLINK("http://funmeta.oebiotech.com/network/1504", "http://funmeta.oebiotech.com/network/1504")</f>
      </c>
      <c r="H333" s="2"/>
      <c r="I333" s="2"/>
      <c r="J333" s="2" t="s">
        <v>2277</v>
      </c>
      <c r="K333" s="2"/>
      <c r="L333" s="2"/>
      <c r="M333" s="2"/>
      <c r="N333" s="2"/>
      <c r="O333" s="2" t="n">
        <v>134812111</v>
      </c>
      <c r="P333" s="2"/>
      <c r="Q333" s="2" t="s">
        <v>2278</v>
      </c>
      <c r="R333" s="2" t="s">
        <v>2279</v>
      </c>
      <c r="S333" s="2" t="s">
        <v>66</v>
      </c>
      <c r="T333" s="2" t="s">
        <v>67</v>
      </c>
      <c r="U333" s="2" t="s">
        <v>68</v>
      </c>
      <c r="V333" s="2" t="s">
        <v>92</v>
      </c>
      <c r="W333" s="2" t="n">
        <v>61.3</v>
      </c>
      <c r="X333" s="2" t="n">
        <v>86.2</v>
      </c>
      <c r="Y333" s="2" t="s">
        <v>131</v>
      </c>
      <c r="Z333" s="2" t="s">
        <v>2280</v>
      </c>
      <c r="AA333" s="2" t="n">
        <v>0.558276012990509</v>
      </c>
      <c r="AB333" s="2" t="n">
        <v>1.02183616099158</v>
      </c>
      <c r="AC333" s="2" t="n">
        <v>248925.329043363</v>
      </c>
      <c r="AD333" s="2" t="n">
        <v>110032.363752723</v>
      </c>
      <c r="AE333" s="4" t="n">
        <v>2.26229193442373</v>
      </c>
      <c r="AF333" s="4" t="n">
        <v>1.17778511198441</v>
      </c>
      <c r="AG333" s="4" t="s">
        <v>72</v>
      </c>
      <c r="AH333" s="2" t="n">
        <v>0.0161305758609033</v>
      </c>
      <c r="AI333" s="2" t="n">
        <v>0.0498550498654502</v>
      </c>
      <c r="AJ333" s="2" t="n">
        <v>329073.981221126</v>
      </c>
      <c r="AK333" s="2" t="n">
        <v>137357.107014246</v>
      </c>
      <c r="AL333" s="2" t="n">
        <v>138388.153508613</v>
      </c>
      <c r="AM333" s="2" t="n">
        <v>324192.045723815</v>
      </c>
      <c r="AN333" s="2" t="n">
        <v>315615.357749017</v>
      </c>
      <c r="AO333" s="2" t="n">
        <v>122992.120446452</v>
      </c>
      <c r="AP333" s="2" t="n">
        <v>92652.0971780175</v>
      </c>
      <c r="AQ333" s="2" t="n">
        <v>103507.625752854</v>
      </c>
      <c r="AR333" s="2" t="n">
        <v>110531.093760835</v>
      </c>
      <c r="AS333" s="2" t="n">
        <v>120478.881625458</v>
      </c>
    </row>
    <row r="334">
      <c r="A334" s="2" t="s">
        <v>2281</v>
      </c>
      <c r="B334" s="2" t="n">
        <v>229.118609349545</v>
      </c>
      <c r="C334" s="2" t="n">
        <v>2.5346</v>
      </c>
      <c r="D334" s="2" t="s">
        <v>59</v>
      </c>
      <c r="E334" s="2" t="s">
        <v>2282</v>
      </c>
      <c r="F334" s="2" t="n">
        <v>51518</v>
      </c>
      <c r="G334" s="5" t="str">
        <f>HYPERLINK("http://funmeta.oebiotech.com/network/51518", "http://funmeta.oebiotech.com/network/51518")</f>
      </c>
      <c r="H334" s="2" t="s">
        <v>2283</v>
      </c>
      <c r="I334" s="2" t="n">
        <v>1215</v>
      </c>
      <c r="J334" s="2"/>
      <c r="K334" s="2" t="n">
        <v>61058</v>
      </c>
      <c r="L334" s="2" t="s">
        <v>2284</v>
      </c>
      <c r="M334" s="2"/>
      <c r="N334" s="2"/>
      <c r="O334" s="2" t="n">
        <v>38853</v>
      </c>
      <c r="P334" s="2" t="s">
        <v>2285</v>
      </c>
      <c r="Q334" s="2" t="s">
        <v>2286</v>
      </c>
      <c r="R334" s="2" t="s">
        <v>2287</v>
      </c>
      <c r="S334" s="2" t="s">
        <v>158</v>
      </c>
      <c r="T334" s="2" t="s">
        <v>2288</v>
      </c>
      <c r="U334" s="2" t="s">
        <v>77</v>
      </c>
      <c r="V334" s="2" t="s">
        <v>54</v>
      </c>
      <c r="W334" s="2" t="n">
        <v>46.2</v>
      </c>
      <c r="X334" s="2" t="n">
        <v>35.3</v>
      </c>
      <c r="Y334" s="2" t="s">
        <v>78</v>
      </c>
      <c r="Z334" s="2" t="s">
        <v>2289</v>
      </c>
      <c r="AA334" s="2" t="n">
        <v>1.54402459861618</v>
      </c>
      <c r="AB334" s="2" t="n">
        <v>1.02000599423211</v>
      </c>
      <c r="AC334" s="2" t="n">
        <v>96811.0321091184</v>
      </c>
      <c r="AD334" s="2" t="n">
        <v>224632.094479577</v>
      </c>
      <c r="AE334" s="3" t="n">
        <v>0.430975957969888</v>
      </c>
      <c r="AF334" s="3" t="n">
        <v>-1.21432070419261</v>
      </c>
      <c r="AG334" s="3" t="s">
        <v>57</v>
      </c>
      <c r="AH334" s="2" t="n">
        <v>0.00596709042637352</v>
      </c>
      <c r="AI334" s="2" t="n">
        <v>0.0251520527302765</v>
      </c>
      <c r="AJ334" s="2" t="n">
        <v>90128.5864503449</v>
      </c>
      <c r="AK334" s="2" t="n">
        <v>138358.141331876</v>
      </c>
      <c r="AL334" s="2" t="n">
        <v>146469.708189211</v>
      </c>
      <c r="AM334" s="2" t="n">
        <v>85645.5561933627</v>
      </c>
      <c r="AN334" s="2" t="n">
        <v>23453.1683807972</v>
      </c>
      <c r="AO334" s="2" t="n">
        <v>185999.341942226</v>
      </c>
      <c r="AP334" s="2" t="n">
        <v>189326.354100625</v>
      </c>
      <c r="AQ334" s="2" t="n">
        <v>271399.652885993</v>
      </c>
      <c r="AR334" s="2" t="n">
        <v>172193.948665769</v>
      </c>
      <c r="AS334" s="2" t="n">
        <v>304241.174803274</v>
      </c>
    </row>
    <row r="335">
      <c r="A335" s="2" t="s">
        <v>2290</v>
      </c>
      <c r="B335" s="2" t="n">
        <v>334.197435068272</v>
      </c>
      <c r="C335" s="2" t="n">
        <v>2.3517</v>
      </c>
      <c r="D335" s="2" t="s">
        <v>59</v>
      </c>
      <c r="E335" s="2" t="s">
        <v>2291</v>
      </c>
      <c r="F335" s="2" t="n">
        <v>260896</v>
      </c>
      <c r="G335" s="5" t="str">
        <f>HYPERLINK("http://funmeta.oebiotech.com/network/260896", "http://funmeta.oebiotech.com/network/260896")</f>
      </c>
      <c r="H335" s="2"/>
      <c r="I335" s="2" t="n">
        <v>18184</v>
      </c>
      <c r="J335" s="2"/>
      <c r="K335" s="2"/>
      <c r="L335" s="2"/>
      <c r="M335" s="2"/>
      <c r="N335" s="2"/>
      <c r="O335" s="2" t="n">
        <v>145458105</v>
      </c>
      <c r="P335" s="2"/>
      <c r="Q335" s="2" t="s">
        <v>2292</v>
      </c>
      <c r="R335" s="2" t="s">
        <v>2293</v>
      </c>
      <c r="S335" s="2" t="s">
        <v>110</v>
      </c>
      <c r="T335" s="2" t="s">
        <v>111</v>
      </c>
      <c r="U335" s="2" t="s">
        <v>112</v>
      </c>
      <c r="V335" s="2" t="s">
        <v>122</v>
      </c>
      <c r="W335" s="2" t="n">
        <v>47.9</v>
      </c>
      <c r="X335" s="2" t="n">
        <v>38.4</v>
      </c>
      <c r="Y335" s="2" t="s">
        <v>248</v>
      </c>
      <c r="Z335" s="2" t="s">
        <v>2294</v>
      </c>
      <c r="AA335" s="2" t="n">
        <v>0.519339203769221</v>
      </c>
      <c r="AB335" s="2" t="n">
        <v>1.01873209796004</v>
      </c>
      <c r="AC335" s="2" t="n">
        <v>19217.8409960406</v>
      </c>
      <c r="AD335" s="2" t="n">
        <v>124015.290639375</v>
      </c>
      <c r="AE335" s="3" t="n">
        <v>0.154963479881883</v>
      </c>
      <c r="AF335" s="3" t="n">
        <v>-2.68999983810534</v>
      </c>
      <c r="AG335" s="3" t="s">
        <v>57</v>
      </c>
      <c r="AH335" s="2" t="n">
        <v>0.0000148650863438403</v>
      </c>
      <c r="AI335" s="2" t="n">
        <v>0.000555465006747042</v>
      </c>
      <c r="AJ335" s="2" t="n">
        <v>4018.93070819827</v>
      </c>
      <c r="AK335" s="2" t="n">
        <v>37147.0377342165</v>
      </c>
      <c r="AL335" s="2" t="n">
        <v>36557.3021794646</v>
      </c>
      <c r="AM335" s="2" t="n">
        <v>18365.9343569595</v>
      </c>
      <c r="AN335" s="2" t="n">
        <v>0.00000136409140715624</v>
      </c>
      <c r="AO335" s="2" t="n">
        <v>149605.319983128</v>
      </c>
      <c r="AP335" s="2" t="n">
        <v>124694.171096962</v>
      </c>
      <c r="AQ335" s="2" t="n">
        <v>127961.027197291</v>
      </c>
      <c r="AR335" s="2" t="n">
        <v>98814.9378380508</v>
      </c>
      <c r="AS335" s="2" t="n">
        <v>119000.997081442</v>
      </c>
    </row>
    <row r="336">
      <c r="A336" s="2" t="s">
        <v>2295</v>
      </c>
      <c r="B336" s="2" t="n">
        <v>306.145112869124</v>
      </c>
      <c r="C336" s="2" t="n">
        <v>4.0214</v>
      </c>
      <c r="D336" s="2" t="s">
        <v>59</v>
      </c>
      <c r="E336" s="2" t="s">
        <v>2296</v>
      </c>
      <c r="F336" s="2" t="n">
        <v>47722</v>
      </c>
      <c r="G336" s="5" t="str">
        <f>HYPERLINK("http://funmeta.oebiotech.com/network/47722", "http://funmeta.oebiotech.com/network/47722")</f>
      </c>
      <c r="H336" s="2" t="s">
        <v>2297</v>
      </c>
      <c r="I336" s="2" t="n">
        <v>1250</v>
      </c>
      <c r="J336" s="2"/>
      <c r="K336" s="2" t="n">
        <v>6904</v>
      </c>
      <c r="L336" s="2" t="s">
        <v>2298</v>
      </c>
      <c r="M336" s="2"/>
      <c r="N336" s="2"/>
      <c r="O336" s="2" t="n">
        <v>4171</v>
      </c>
      <c r="P336" s="2" t="s">
        <v>2299</v>
      </c>
      <c r="Q336" s="2" t="s">
        <v>2300</v>
      </c>
      <c r="R336" s="2" t="s">
        <v>2301</v>
      </c>
      <c r="S336" s="2" t="s">
        <v>147</v>
      </c>
      <c r="T336" s="2" t="s">
        <v>1941</v>
      </c>
      <c r="U336" s="2" t="s">
        <v>2302</v>
      </c>
      <c r="V336" s="2" t="s">
        <v>54</v>
      </c>
      <c r="W336" s="2" t="n">
        <v>38.1</v>
      </c>
      <c r="X336" s="2" t="n">
        <v>0</v>
      </c>
      <c r="Y336" s="2" t="s">
        <v>2303</v>
      </c>
      <c r="Z336" s="2" t="s">
        <v>2304</v>
      </c>
      <c r="AA336" s="2" t="n">
        <v>-5.57248639997476</v>
      </c>
      <c r="AB336" s="2" t="n">
        <v>1.01645489891788</v>
      </c>
      <c r="AC336" s="2" t="n">
        <v>38091.1652378225</v>
      </c>
      <c r="AD336" s="2" t="n">
        <v>146173.32256522</v>
      </c>
      <c r="AE336" s="3" t="n">
        <v>0.260589036148008</v>
      </c>
      <c r="AF336" s="3" t="n">
        <v>-1.94015170870826</v>
      </c>
      <c r="AG336" s="3" t="s">
        <v>57</v>
      </c>
      <c r="AH336" s="2" t="n">
        <v>0.000281740773234575</v>
      </c>
      <c r="AI336" s="2" t="n">
        <v>0.0027865201632561</v>
      </c>
      <c r="AJ336" s="2" t="n">
        <v>23035.4296246655</v>
      </c>
      <c r="AK336" s="2" t="n">
        <v>59792.9759401644</v>
      </c>
      <c r="AL336" s="2" t="n">
        <v>73158.9885222188</v>
      </c>
      <c r="AM336" s="2" t="n">
        <v>32010.4065887775</v>
      </c>
      <c r="AN336" s="2" t="n">
        <v>2458.0255132863</v>
      </c>
      <c r="AO336" s="2" t="n">
        <v>165155.740290037</v>
      </c>
      <c r="AP336" s="2" t="n">
        <v>142073.167209398</v>
      </c>
      <c r="AQ336" s="2" t="n">
        <v>150616.443919319</v>
      </c>
      <c r="AR336" s="2" t="n">
        <v>101791.916379292</v>
      </c>
      <c r="AS336" s="2" t="n">
        <v>171229.345028053</v>
      </c>
    </row>
    <row r="337">
      <c r="A337" s="2" t="s">
        <v>2305</v>
      </c>
      <c r="B337" s="2" t="n">
        <v>417.270970549459</v>
      </c>
      <c r="C337" s="2" t="n">
        <v>3.85586666666667</v>
      </c>
      <c r="D337" s="2" t="s">
        <v>59</v>
      </c>
      <c r="E337" s="2" t="s">
        <v>2306</v>
      </c>
      <c r="F337" s="2" t="n">
        <v>210294</v>
      </c>
      <c r="G337" s="5" t="str">
        <f>HYPERLINK("http://funmeta.oebiotech.com/network/210294", "http://funmeta.oebiotech.com/network/210294")</f>
      </c>
      <c r="H337" s="2" t="s">
        <v>2307</v>
      </c>
      <c r="I337" s="2"/>
      <c r="J337" s="2"/>
      <c r="K337" s="2"/>
      <c r="L337" s="2"/>
      <c r="M337" s="2"/>
      <c r="N337" s="2"/>
      <c r="O337" s="2"/>
      <c r="P337" s="2"/>
      <c r="Q337" s="2" t="s">
        <v>2308</v>
      </c>
      <c r="R337" s="2" t="s">
        <v>2309</v>
      </c>
      <c r="S337" s="2" t="s">
        <v>77</v>
      </c>
      <c r="T337" s="2" t="s">
        <v>77</v>
      </c>
      <c r="U337" s="2" t="s">
        <v>77</v>
      </c>
      <c r="V337" s="2" t="s">
        <v>54</v>
      </c>
      <c r="W337" s="2" t="n">
        <v>40.8</v>
      </c>
      <c r="X337" s="2" t="n">
        <v>14.4</v>
      </c>
      <c r="Y337" s="2" t="s">
        <v>70</v>
      </c>
      <c r="Z337" s="2" t="s">
        <v>2310</v>
      </c>
      <c r="AA337" s="2" t="n">
        <v>-2.82583952222316</v>
      </c>
      <c r="AB337" s="2" t="n">
        <v>1.01466671032979</v>
      </c>
      <c r="AC337" s="2" t="n">
        <v>37761.2070007203</v>
      </c>
      <c r="AD337" s="2" t="n">
        <v>150101.226038053</v>
      </c>
      <c r="AE337" s="3" t="n">
        <v>0.251571609356123</v>
      </c>
      <c r="AF337" s="3" t="n">
        <v>-1.99095897613685</v>
      </c>
      <c r="AG337" s="3" t="s">
        <v>57</v>
      </c>
      <c r="AH337" s="2" t="n">
        <v>0.000385399709900223</v>
      </c>
      <c r="AI337" s="2" t="n">
        <v>0.00351235194403624</v>
      </c>
      <c r="AJ337" s="2" t="n">
        <v>3960.55449914386</v>
      </c>
      <c r="AK337" s="2" t="n">
        <v>58091.18186477</v>
      </c>
      <c r="AL337" s="2" t="n">
        <v>70959.6604938493</v>
      </c>
      <c r="AM337" s="2" t="n">
        <v>55794.6381444743</v>
      </c>
      <c r="AN337" s="2" t="n">
        <v>0.00000136409140715624</v>
      </c>
      <c r="AO337" s="2" t="n">
        <v>182046.688162295</v>
      </c>
      <c r="AP337" s="2" t="n">
        <v>175188.745718359</v>
      </c>
      <c r="AQ337" s="2" t="n">
        <v>136930.825430724</v>
      </c>
      <c r="AR337" s="2" t="n">
        <v>138076.287103076</v>
      </c>
      <c r="AS337" s="2" t="n">
        <v>118263.583775812</v>
      </c>
    </row>
    <row r="338">
      <c r="A338" s="2" t="s">
        <v>2311</v>
      </c>
      <c r="B338" s="2" t="n">
        <v>400.140548243816</v>
      </c>
      <c r="C338" s="2" t="n">
        <v>6.32991666666667</v>
      </c>
      <c r="D338" s="2" t="s">
        <v>46</v>
      </c>
      <c r="E338" s="2" t="s">
        <v>2312</v>
      </c>
      <c r="F338" s="2" t="n">
        <v>60439</v>
      </c>
      <c r="G338" s="5" t="str">
        <f>HYPERLINK("http://funmeta.oebiotech.com/network/60439", "http://funmeta.oebiotech.com/network/60439")</f>
      </c>
      <c r="H338" s="2" t="s">
        <v>2313</v>
      </c>
      <c r="I338" s="2"/>
      <c r="J338" s="2"/>
      <c r="K338" s="2" t="n">
        <v>81126</v>
      </c>
      <c r="L338" s="2" t="s">
        <v>2314</v>
      </c>
      <c r="M338" s="2"/>
      <c r="N338" s="2"/>
      <c r="O338" s="2" t="n">
        <v>6439596</v>
      </c>
      <c r="P338" s="2" t="s">
        <v>2315</v>
      </c>
      <c r="Q338" s="2" t="s">
        <v>2316</v>
      </c>
      <c r="R338" s="2" t="s">
        <v>2317</v>
      </c>
      <c r="S338" s="2" t="s">
        <v>428</v>
      </c>
      <c r="T338" s="2" t="s">
        <v>547</v>
      </c>
      <c r="U338" s="2" t="s">
        <v>77</v>
      </c>
      <c r="V338" s="2" t="s">
        <v>54</v>
      </c>
      <c r="W338" s="2" t="n">
        <v>38.9</v>
      </c>
      <c r="X338" s="2" t="n">
        <v>1.35</v>
      </c>
      <c r="Y338" s="2" t="s">
        <v>131</v>
      </c>
      <c r="Z338" s="2" t="s">
        <v>749</v>
      </c>
      <c r="AA338" s="2" t="n">
        <v>1.04915153591752</v>
      </c>
      <c r="AB338" s="2" t="n">
        <v>1.01302603597928</v>
      </c>
      <c r="AC338" s="2" t="n">
        <v>143774.973019531</v>
      </c>
      <c r="AD338" s="2" t="n">
        <v>8260.53992194813</v>
      </c>
      <c r="AE338" s="4" t="n">
        <v>17.405033372882</v>
      </c>
      <c r="AF338" s="4" t="n">
        <v>4.12143267521412</v>
      </c>
      <c r="AG338" s="4" t="s">
        <v>72</v>
      </c>
      <c r="AH338" s="2" t="n">
        <v>0.0268833024208733</v>
      </c>
      <c r="AI338" s="2" t="n">
        <v>0.0704687883656035</v>
      </c>
      <c r="AJ338" s="2" t="n">
        <v>155833.288105033</v>
      </c>
      <c r="AK338" s="2" t="n">
        <v>311085.682381049</v>
      </c>
      <c r="AL338" s="2" t="n">
        <v>101515.273750063</v>
      </c>
      <c r="AM338" s="2" t="n">
        <v>148670.752414328</v>
      </c>
      <c r="AN338" s="2" t="n">
        <v>1769.86844718228</v>
      </c>
      <c r="AO338" s="2" t="n">
        <v>8521.40125718502</v>
      </c>
      <c r="AP338" s="2" t="n">
        <v>10036.9766384242</v>
      </c>
      <c r="AQ338" s="2" t="n">
        <v>0.00000136409140715624</v>
      </c>
      <c r="AR338" s="2" t="n">
        <v>13298.1526698334</v>
      </c>
      <c r="AS338" s="2" t="n">
        <v>9446.16904293393</v>
      </c>
    </row>
    <row r="339">
      <c r="A339" s="2" t="s">
        <v>2318</v>
      </c>
      <c r="B339" s="2" t="n">
        <v>342.167040702708</v>
      </c>
      <c r="C339" s="2" t="n">
        <v>3.99845</v>
      </c>
      <c r="D339" s="2" t="s">
        <v>46</v>
      </c>
      <c r="E339" s="2" t="s">
        <v>2319</v>
      </c>
      <c r="F339" s="2" t="n">
        <v>265585</v>
      </c>
      <c r="G339" s="5" t="str">
        <f>HYPERLINK("http://funmeta.oebiotech.com/network/265585", "http://funmeta.oebiotech.com/network/265585")</f>
      </c>
      <c r="H339" s="2"/>
      <c r="I339" s="2" t="n">
        <v>23087</v>
      </c>
      <c r="J339" s="2"/>
      <c r="K339" s="2"/>
      <c r="L339" s="2"/>
      <c r="M339" s="2"/>
      <c r="N339" s="2"/>
      <c r="O339" s="2" t="n">
        <v>145457416</v>
      </c>
      <c r="P339" s="2"/>
      <c r="Q339" s="2" t="s">
        <v>2320</v>
      </c>
      <c r="R339" s="2" t="s">
        <v>2321</v>
      </c>
      <c r="S339" s="2" t="s">
        <v>110</v>
      </c>
      <c r="T339" s="2" t="s">
        <v>580</v>
      </c>
      <c r="U339" s="2" t="s">
        <v>77</v>
      </c>
      <c r="V339" s="2" t="s">
        <v>122</v>
      </c>
      <c r="W339" s="2" t="n">
        <v>58.6</v>
      </c>
      <c r="X339" s="2" t="n">
        <v>0</v>
      </c>
      <c r="Y339" s="2" t="s">
        <v>290</v>
      </c>
      <c r="Z339" s="2" t="s">
        <v>1081</v>
      </c>
      <c r="AA339" s="2" t="n">
        <v>-0.0536135733515695</v>
      </c>
      <c r="AB339" s="2" t="n">
        <v>1.01284275247194</v>
      </c>
      <c r="AC339" s="2" t="n">
        <v>18280.5410914923</v>
      </c>
      <c r="AD339" s="2" t="n">
        <v>124067.215968464</v>
      </c>
      <c r="AE339" s="3" t="n">
        <v>0.147343848645229</v>
      </c>
      <c r="AF339" s="3" t="n">
        <v>-2.76274126322944</v>
      </c>
      <c r="AG339" s="3" t="s">
        <v>57</v>
      </c>
      <c r="AH339" s="2" t="n">
        <v>0.0000573852115813143</v>
      </c>
      <c r="AI339" s="2" t="n">
        <v>0.00103152558241258</v>
      </c>
      <c r="AJ339" s="2" t="n">
        <v>7480.86983854166</v>
      </c>
      <c r="AK339" s="2" t="n">
        <v>28065.5787859491</v>
      </c>
      <c r="AL339" s="2" t="n">
        <v>37038.0416715808</v>
      </c>
      <c r="AM339" s="2" t="n">
        <v>17199.8242916223</v>
      </c>
      <c r="AN339" s="2" t="n">
        <v>1618.39086976769</v>
      </c>
      <c r="AO339" s="2" t="n">
        <v>111167.532807728</v>
      </c>
      <c r="AP339" s="2" t="n">
        <v>99685.4727623149</v>
      </c>
      <c r="AQ339" s="2" t="n">
        <v>158163.7613017</v>
      </c>
      <c r="AR339" s="2" t="n">
        <v>103271.559017152</v>
      </c>
      <c r="AS339" s="2" t="n">
        <v>148047.753953425</v>
      </c>
    </row>
    <row r="340">
      <c r="A340" s="2" t="s">
        <v>2322</v>
      </c>
      <c r="B340" s="2" t="n">
        <v>429.154179658468</v>
      </c>
      <c r="C340" s="2" t="n">
        <v>3.63791666666667</v>
      </c>
      <c r="D340" s="2" t="s">
        <v>46</v>
      </c>
      <c r="E340" s="2" t="s">
        <v>2323</v>
      </c>
      <c r="F340" s="2" t="n">
        <v>51939</v>
      </c>
      <c r="G340" s="5" t="str">
        <f>HYPERLINK("http://funmeta.oebiotech.com/network/51939", "http://funmeta.oebiotech.com/network/51939")</f>
      </c>
      <c r="H340" s="2" t="s">
        <v>2324</v>
      </c>
      <c r="I340" s="2" t="n">
        <v>44276</v>
      </c>
      <c r="J340" s="2"/>
      <c r="K340" s="2" t="n">
        <v>27407</v>
      </c>
      <c r="L340" s="2" t="s">
        <v>2325</v>
      </c>
      <c r="M340" s="2"/>
      <c r="N340" s="2"/>
      <c r="O340" s="2" t="n">
        <v>3830</v>
      </c>
      <c r="P340" s="2" t="s">
        <v>2326</v>
      </c>
      <c r="Q340" s="2" t="s">
        <v>2327</v>
      </c>
      <c r="R340" s="2" t="s">
        <v>2328</v>
      </c>
      <c r="S340" s="2" t="s">
        <v>51</v>
      </c>
      <c r="T340" s="2" t="s">
        <v>829</v>
      </c>
      <c r="U340" s="2" t="s">
        <v>830</v>
      </c>
      <c r="V340" s="2" t="s">
        <v>54</v>
      </c>
      <c r="W340" s="2" t="n">
        <v>40.9</v>
      </c>
      <c r="X340" s="2" t="n">
        <v>14</v>
      </c>
      <c r="Y340" s="2" t="s">
        <v>85</v>
      </c>
      <c r="Z340" s="2" t="s">
        <v>2329</v>
      </c>
      <c r="AA340" s="2" t="n">
        <v>0.0842151011906681</v>
      </c>
      <c r="AB340" s="2" t="n">
        <v>1.01267481385233</v>
      </c>
      <c r="AC340" s="2" t="n">
        <v>73315.30567004</v>
      </c>
      <c r="AD340" s="2" t="n">
        <v>191083.796345214</v>
      </c>
      <c r="AE340" s="3" t="n">
        <v>0.383681437528005</v>
      </c>
      <c r="AF340" s="3" t="n">
        <v>-1.38201912570921</v>
      </c>
      <c r="AG340" s="3" t="s">
        <v>57</v>
      </c>
      <c r="AH340" s="2" t="n">
        <v>0.000912078828039624</v>
      </c>
      <c r="AI340" s="2" t="n">
        <v>0.00631626044503029</v>
      </c>
      <c r="AJ340" s="2" t="n">
        <v>62134.8837201295</v>
      </c>
      <c r="AK340" s="2" t="n">
        <v>92905.2995212283</v>
      </c>
      <c r="AL340" s="2" t="n">
        <v>101458.752111524</v>
      </c>
      <c r="AM340" s="2" t="n">
        <v>102496.876573684</v>
      </c>
      <c r="AN340" s="2" t="n">
        <v>7580.71642363446</v>
      </c>
      <c r="AO340" s="2" t="n">
        <v>171485.802920564</v>
      </c>
      <c r="AP340" s="2" t="n">
        <v>172824.518879324</v>
      </c>
      <c r="AQ340" s="2" t="n">
        <v>247126.200524724</v>
      </c>
      <c r="AR340" s="2" t="n">
        <v>174829.984603493</v>
      </c>
      <c r="AS340" s="2" t="n">
        <v>189152.474797963</v>
      </c>
    </row>
    <row r="341">
      <c r="A341" s="2" t="s">
        <v>2330</v>
      </c>
      <c r="B341" s="2" t="n">
        <v>132.149700274972</v>
      </c>
      <c r="C341" s="2" t="n">
        <v>0.586266666666667</v>
      </c>
      <c r="D341" s="2" t="s">
        <v>59</v>
      </c>
      <c r="E341" s="2" t="s">
        <v>2331</v>
      </c>
      <c r="F341" s="2" t="n">
        <v>199186</v>
      </c>
      <c r="G341" s="5" t="str">
        <f>HYPERLINK("http://funmeta.oebiotech.com/network/199186", "http://funmeta.oebiotech.com/network/199186")</f>
      </c>
      <c r="H341" s="2" t="s">
        <v>2332</v>
      </c>
      <c r="I341" s="2"/>
      <c r="J341" s="2"/>
      <c r="K341" s="2"/>
      <c r="L341" s="2"/>
      <c r="M341" s="2"/>
      <c r="N341" s="2"/>
      <c r="O341" s="2" t="n">
        <v>4610</v>
      </c>
      <c r="P341" s="2"/>
      <c r="Q341" s="2" t="s">
        <v>2333</v>
      </c>
      <c r="R341" s="2" t="s">
        <v>2334</v>
      </c>
      <c r="S341" s="2" t="s">
        <v>255</v>
      </c>
      <c r="T341" s="2" t="s">
        <v>256</v>
      </c>
      <c r="U341" s="2" t="s">
        <v>2335</v>
      </c>
      <c r="V341" s="2" t="s">
        <v>54</v>
      </c>
      <c r="W341" s="2" t="n">
        <v>43.5</v>
      </c>
      <c r="X341" s="2" t="n">
        <v>26.1</v>
      </c>
      <c r="Y341" s="2" t="s">
        <v>78</v>
      </c>
      <c r="Z341" s="2" t="s">
        <v>2336</v>
      </c>
      <c r="AA341" s="2" t="n">
        <v>1.54480404148313</v>
      </c>
      <c r="AB341" s="2" t="n">
        <v>1.01264582992572</v>
      </c>
      <c r="AC341" s="2" t="n">
        <v>123563.775241649</v>
      </c>
      <c r="AD341" s="2" t="n">
        <v>10888.7585306624</v>
      </c>
      <c r="AE341" s="4" t="n">
        <v>11.347829497155</v>
      </c>
      <c r="AF341" s="4" t="n">
        <v>3.50434447406514</v>
      </c>
      <c r="AG341" s="4" t="s">
        <v>72</v>
      </c>
      <c r="AH341" s="2" t="n">
        <v>0.0150581108329073</v>
      </c>
      <c r="AI341" s="2" t="n">
        <v>0.0475457675258008</v>
      </c>
      <c r="AJ341" s="2" t="n">
        <v>263982.21420672</v>
      </c>
      <c r="AK341" s="2" t="n">
        <v>53180.2445647232</v>
      </c>
      <c r="AL341" s="2" t="n">
        <v>110210.810693003</v>
      </c>
      <c r="AM341" s="2" t="n">
        <v>103393.126556928</v>
      </c>
      <c r="AN341" s="2" t="n">
        <v>87052.4801868726</v>
      </c>
      <c r="AO341" s="2" t="n">
        <v>5533.49325324755</v>
      </c>
      <c r="AP341" s="2" t="n">
        <v>11481.9143899019</v>
      </c>
      <c r="AQ341" s="2" t="n">
        <v>4597.04880861878</v>
      </c>
      <c r="AR341" s="2" t="n">
        <v>15350.7085893216</v>
      </c>
      <c r="AS341" s="2" t="n">
        <v>17480.6276122222</v>
      </c>
    </row>
    <row r="342">
      <c r="A342" s="2" t="s">
        <v>2337</v>
      </c>
      <c r="B342" s="2" t="n">
        <v>332.109850795278</v>
      </c>
      <c r="C342" s="2" t="n">
        <v>0.77065</v>
      </c>
      <c r="D342" s="2" t="s">
        <v>46</v>
      </c>
      <c r="E342" s="2" t="s">
        <v>2338</v>
      </c>
      <c r="F342" s="2" t="n">
        <v>47801</v>
      </c>
      <c r="G342" s="5" t="str">
        <f>HYPERLINK("http://funmeta.oebiotech.com/network/47801", "http://funmeta.oebiotech.com/network/47801")</f>
      </c>
      <c r="H342" s="2" t="s">
        <v>2339</v>
      </c>
      <c r="I342" s="2" t="n">
        <v>6481</v>
      </c>
      <c r="J342" s="2"/>
      <c r="K342" s="2" t="n">
        <v>90055</v>
      </c>
      <c r="L342" s="2"/>
      <c r="M342" s="2"/>
      <c r="N342" s="2"/>
      <c r="O342" s="2" t="n">
        <v>126923</v>
      </c>
      <c r="P342" s="2" t="s">
        <v>2340</v>
      </c>
      <c r="Q342" s="2" t="s">
        <v>2341</v>
      </c>
      <c r="R342" s="2" t="s">
        <v>2342</v>
      </c>
      <c r="S342" s="2" t="s">
        <v>110</v>
      </c>
      <c r="T342" s="2" t="s">
        <v>111</v>
      </c>
      <c r="U342" s="2" t="s">
        <v>112</v>
      </c>
      <c r="V342" s="2" t="s">
        <v>69</v>
      </c>
      <c r="W342" s="2" t="n">
        <v>49.3</v>
      </c>
      <c r="X342" s="2" t="n">
        <v>50.2</v>
      </c>
      <c r="Y342" s="2" t="s">
        <v>131</v>
      </c>
      <c r="Z342" s="2" t="s">
        <v>2343</v>
      </c>
      <c r="AA342" s="2" t="n">
        <v>-0.304242777206571</v>
      </c>
      <c r="AB342" s="2" t="n">
        <v>1.01262360796725</v>
      </c>
      <c r="AC342" s="2" t="n">
        <v>29124.0029405463</v>
      </c>
      <c r="AD342" s="2" t="n">
        <v>134171.407516238</v>
      </c>
      <c r="AE342" s="3" t="n">
        <v>0.217065643714154</v>
      </c>
      <c r="AF342" s="3" t="n">
        <v>-2.20379669489254</v>
      </c>
      <c r="AG342" s="3" t="s">
        <v>57</v>
      </c>
      <c r="AH342" s="2" t="n">
        <v>0.00000793787948296075</v>
      </c>
      <c r="AI342" s="2" t="n">
        <v>0.000447268978559134</v>
      </c>
      <c r="AJ342" s="2" t="n">
        <v>31280.3865744696</v>
      </c>
      <c r="AK342" s="2" t="n">
        <v>35468.0996350155</v>
      </c>
      <c r="AL342" s="2" t="n">
        <v>38221.2088595888</v>
      </c>
      <c r="AM342" s="2" t="n">
        <v>32560.9819217681</v>
      </c>
      <c r="AN342" s="2" t="n">
        <v>8089.3377118897</v>
      </c>
      <c r="AO342" s="2" t="n">
        <v>141113.144005327</v>
      </c>
      <c r="AP342" s="2" t="n">
        <v>121051.034557862</v>
      </c>
      <c r="AQ342" s="2" t="n">
        <v>150216.289959094</v>
      </c>
      <c r="AR342" s="2" t="n">
        <v>106223.379616956</v>
      </c>
      <c r="AS342" s="2" t="n">
        <v>152253.189441953</v>
      </c>
    </row>
    <row r="343">
      <c r="A343" s="2" t="s">
        <v>2344</v>
      </c>
      <c r="B343" s="2" t="n">
        <v>274.17627654755</v>
      </c>
      <c r="C343" s="2" t="n">
        <v>2.5346</v>
      </c>
      <c r="D343" s="2" t="s">
        <v>59</v>
      </c>
      <c r="E343" s="2" t="s">
        <v>2345</v>
      </c>
      <c r="F343" s="2" t="n">
        <v>207564</v>
      </c>
      <c r="G343" s="5" t="str">
        <f>HYPERLINK("http://funmeta.oebiotech.com/network/207564", "http://funmeta.oebiotech.com/network/207564")</f>
      </c>
      <c r="H343" s="2" t="s">
        <v>2346</v>
      </c>
      <c r="I343" s="2"/>
      <c r="J343" s="2"/>
      <c r="K343" s="2"/>
      <c r="L343" s="2"/>
      <c r="M343" s="2"/>
      <c r="N343" s="2"/>
      <c r="O343" s="2" t="n">
        <v>22145319</v>
      </c>
      <c r="P343" s="2"/>
      <c r="Q343" s="2" t="s">
        <v>2347</v>
      </c>
      <c r="R343" s="2" t="s">
        <v>2348</v>
      </c>
      <c r="S343" s="2" t="s">
        <v>110</v>
      </c>
      <c r="T343" s="2" t="s">
        <v>111</v>
      </c>
      <c r="U343" s="2" t="s">
        <v>112</v>
      </c>
      <c r="V343" s="2" t="s">
        <v>54</v>
      </c>
      <c r="W343" s="2" t="n">
        <v>47.4</v>
      </c>
      <c r="X343" s="2" t="n">
        <v>41.3</v>
      </c>
      <c r="Y343" s="2" t="s">
        <v>93</v>
      </c>
      <c r="Z343" s="2" t="s">
        <v>2349</v>
      </c>
      <c r="AA343" s="2" t="n">
        <v>0.494140688572786</v>
      </c>
      <c r="AB343" s="2" t="n">
        <v>1.01172610684291</v>
      </c>
      <c r="AC343" s="2" t="n">
        <v>14141.4891053482</v>
      </c>
      <c r="AD343" s="2" t="n">
        <v>117872.210293879</v>
      </c>
      <c r="AE343" s="3" t="n">
        <v>0.119973054463733</v>
      </c>
      <c r="AF343" s="3" t="n">
        <v>-3.05921767702627</v>
      </c>
      <c r="AG343" s="3" t="s">
        <v>57</v>
      </c>
      <c r="AH343" s="2" t="n">
        <v>0.0000283604829696037</v>
      </c>
      <c r="AI343" s="2" t="n">
        <v>0.000704545520204784</v>
      </c>
      <c r="AJ343" s="2" t="n">
        <v>3984.50634156669</v>
      </c>
      <c r="AK343" s="2" t="n">
        <v>30608.2803865521</v>
      </c>
      <c r="AL343" s="2" t="n">
        <v>25947.462196726</v>
      </c>
      <c r="AM343" s="2" t="n">
        <v>10167.1966005319</v>
      </c>
      <c r="AN343" s="2" t="n">
        <v>0.00000136409140715624</v>
      </c>
      <c r="AO343" s="2" t="n">
        <v>116210.59773087</v>
      </c>
      <c r="AP343" s="2" t="n">
        <v>99269.7390508677</v>
      </c>
      <c r="AQ343" s="2" t="n">
        <v>148960.972028642</v>
      </c>
      <c r="AR343" s="2" t="n">
        <v>91469.7526296411</v>
      </c>
      <c r="AS343" s="2" t="n">
        <v>133449.990029374</v>
      </c>
    </row>
    <row r="344">
      <c r="A344" s="2" t="s">
        <v>2350</v>
      </c>
      <c r="B344" s="2" t="n">
        <v>326.182395976536</v>
      </c>
      <c r="C344" s="2" t="n">
        <v>1.05406666666667</v>
      </c>
      <c r="D344" s="2" t="s">
        <v>59</v>
      </c>
      <c r="E344" s="2" t="s">
        <v>2351</v>
      </c>
      <c r="F344" s="2" t="n">
        <v>53632</v>
      </c>
      <c r="G344" s="5" t="str">
        <f>HYPERLINK("http://funmeta.oebiotech.com/network/53632", "http://funmeta.oebiotech.com/network/53632")</f>
      </c>
      <c r="H344" s="2" t="s">
        <v>2352</v>
      </c>
      <c r="I344" s="2" t="n">
        <v>85542</v>
      </c>
      <c r="J344" s="2"/>
      <c r="K344" s="2" t="n">
        <v>334541</v>
      </c>
      <c r="L344" s="2"/>
      <c r="M344" s="2"/>
      <c r="N344" s="2"/>
      <c r="O344" s="2" t="n">
        <v>6918537</v>
      </c>
      <c r="P344" s="2" t="s">
        <v>2353</v>
      </c>
      <c r="Q344" s="2" t="s">
        <v>2354</v>
      </c>
      <c r="R344" s="2" t="s">
        <v>2355</v>
      </c>
      <c r="S344" s="2" t="s">
        <v>110</v>
      </c>
      <c r="T344" s="2" t="s">
        <v>111</v>
      </c>
      <c r="U344" s="2" t="s">
        <v>112</v>
      </c>
      <c r="V344" s="2" t="s">
        <v>54</v>
      </c>
      <c r="W344" s="2" t="n">
        <v>36.7</v>
      </c>
      <c r="X344" s="2" t="n">
        <v>0</v>
      </c>
      <c r="Y344" s="2" t="s">
        <v>363</v>
      </c>
      <c r="Z344" s="2" t="s">
        <v>2356</v>
      </c>
      <c r="AA344" s="2" t="n">
        <v>-4.95311708106126</v>
      </c>
      <c r="AB344" s="2" t="n">
        <v>1.01165814958498</v>
      </c>
      <c r="AC344" s="2" t="n">
        <v>26355.3525002613</v>
      </c>
      <c r="AD344" s="2" t="n">
        <v>131144.004308276</v>
      </c>
      <c r="AE344" s="3" t="n">
        <v>0.200964982267193</v>
      </c>
      <c r="AF344" s="3" t="n">
        <v>-2.31498395821303</v>
      </c>
      <c r="AG344" s="3" t="s">
        <v>57</v>
      </c>
      <c r="AH344" s="2" t="n">
        <v>0.0000273287790607159</v>
      </c>
      <c r="AI344" s="2" t="n">
        <v>0.00070239756708682</v>
      </c>
      <c r="AJ344" s="2" t="n">
        <v>9238.25842022339</v>
      </c>
      <c r="AK344" s="2" t="n">
        <v>40387.4872601796</v>
      </c>
      <c r="AL344" s="2" t="n">
        <v>58991.3727147731</v>
      </c>
      <c r="AM344" s="2" t="n">
        <v>23159.6441047664</v>
      </c>
      <c r="AN344" s="2" t="n">
        <v>0.00000136409140715624</v>
      </c>
      <c r="AO344" s="2" t="n">
        <v>149184.639861209</v>
      </c>
      <c r="AP344" s="2" t="n">
        <v>127114.529203377</v>
      </c>
      <c r="AQ344" s="2" t="n">
        <v>131788.129536036</v>
      </c>
      <c r="AR344" s="2" t="n">
        <v>111455.492907072</v>
      </c>
      <c r="AS344" s="2" t="n">
        <v>136177.230033685</v>
      </c>
    </row>
    <row r="345">
      <c r="A345" s="2" t="s">
        <v>2357</v>
      </c>
      <c r="B345" s="2" t="n">
        <v>798.50680523832</v>
      </c>
      <c r="C345" s="2" t="n">
        <v>13.7980833333333</v>
      </c>
      <c r="D345" s="2" t="s">
        <v>59</v>
      </c>
      <c r="E345" s="2" t="s">
        <v>2358</v>
      </c>
      <c r="F345" s="2" t="n">
        <v>133379</v>
      </c>
      <c r="G345" s="5" t="str">
        <f>HYPERLINK("http://funmeta.oebiotech.com/network/133379", "http://funmeta.oebiotech.com/network/133379")</f>
      </c>
      <c r="H345" s="2" t="s">
        <v>2359</v>
      </c>
      <c r="I345" s="2"/>
      <c r="J345" s="2"/>
      <c r="K345" s="2"/>
      <c r="L345" s="2"/>
      <c r="M345" s="2"/>
      <c r="N345" s="2"/>
      <c r="O345" s="2" t="n">
        <v>131820389</v>
      </c>
      <c r="P345" s="2"/>
      <c r="Q345" s="2" t="s">
        <v>2360</v>
      </c>
      <c r="R345" s="2" t="s">
        <v>2361</v>
      </c>
      <c r="S345" s="2" t="s">
        <v>66</v>
      </c>
      <c r="T345" s="2" t="s">
        <v>129</v>
      </c>
      <c r="U345" s="2" t="s">
        <v>1477</v>
      </c>
      <c r="V345" s="2" t="s">
        <v>54</v>
      </c>
      <c r="W345" s="2" t="n">
        <v>39</v>
      </c>
      <c r="X345" s="2" t="n">
        <v>0</v>
      </c>
      <c r="Y345" s="2" t="s">
        <v>248</v>
      </c>
      <c r="Z345" s="2" t="s">
        <v>2362</v>
      </c>
      <c r="AA345" s="2" t="n">
        <v>-0.0327197670043229</v>
      </c>
      <c r="AB345" s="2" t="n">
        <v>1.00996282221691</v>
      </c>
      <c r="AC345" s="2" t="n">
        <v>210756.818895722</v>
      </c>
      <c r="AD345" s="2" t="n">
        <v>46176.9733759724</v>
      </c>
      <c r="AE345" s="4" t="n">
        <v>4.56411071335798</v>
      </c>
      <c r="AF345" s="4" t="n">
        <v>2.19033378804974</v>
      </c>
      <c r="AG345" s="4" t="s">
        <v>72</v>
      </c>
      <c r="AH345" s="2" t="n">
        <v>0.0431669189379763</v>
      </c>
      <c r="AI345" s="2" t="n">
        <v>0.0957865668034569</v>
      </c>
      <c r="AJ345" s="2" t="n">
        <v>269701.806988126</v>
      </c>
      <c r="AK345" s="2" t="n">
        <v>78409.5380040211</v>
      </c>
      <c r="AL345" s="2" t="n">
        <v>62276.260103115</v>
      </c>
      <c r="AM345" s="2" t="n">
        <v>207493.10388096</v>
      </c>
      <c r="AN345" s="2" t="n">
        <v>435903.385502388</v>
      </c>
      <c r="AO345" s="2" t="n">
        <v>42317.8821061435</v>
      </c>
      <c r="AP345" s="2" t="n">
        <v>49065.4537827323</v>
      </c>
      <c r="AQ345" s="2" t="n">
        <v>33971.853753887</v>
      </c>
      <c r="AR345" s="2" t="n">
        <v>48203.7983971521</v>
      </c>
      <c r="AS345" s="2" t="n">
        <v>57325.8788399473</v>
      </c>
    </row>
    <row r="346">
      <c r="A346" s="2" t="s">
        <v>2363</v>
      </c>
      <c r="B346" s="2" t="n">
        <v>346.125489578869</v>
      </c>
      <c r="C346" s="2" t="n">
        <v>1.0628</v>
      </c>
      <c r="D346" s="2" t="s">
        <v>46</v>
      </c>
      <c r="E346" s="2" t="s">
        <v>2364</v>
      </c>
      <c r="F346" s="2" t="n">
        <v>207262</v>
      </c>
      <c r="G346" s="5" t="str">
        <f>HYPERLINK("http://funmeta.oebiotech.com/network/207262", "http://funmeta.oebiotech.com/network/207262")</f>
      </c>
      <c r="H346" s="2" t="s">
        <v>2365</v>
      </c>
      <c r="I346" s="2"/>
      <c r="J346" s="2"/>
      <c r="K346" s="2"/>
      <c r="L346" s="2"/>
      <c r="M346" s="2"/>
      <c r="N346" s="2"/>
      <c r="O346" s="2" t="n">
        <v>15949634</v>
      </c>
      <c r="P346" s="2"/>
      <c r="Q346" s="2" t="s">
        <v>2366</v>
      </c>
      <c r="R346" s="2" t="s">
        <v>2367</v>
      </c>
      <c r="S346" s="2" t="s">
        <v>110</v>
      </c>
      <c r="T346" s="2" t="s">
        <v>111</v>
      </c>
      <c r="U346" s="2" t="s">
        <v>112</v>
      </c>
      <c r="V346" s="2" t="s">
        <v>54</v>
      </c>
      <c r="W346" s="2" t="n">
        <v>45.6</v>
      </c>
      <c r="X346" s="2" t="n">
        <v>32.3</v>
      </c>
      <c r="Y346" s="2" t="s">
        <v>131</v>
      </c>
      <c r="Z346" s="2" t="s">
        <v>2368</v>
      </c>
      <c r="AA346" s="2" t="n">
        <v>-0.327543178586913</v>
      </c>
      <c r="AB346" s="2" t="n">
        <v>1.00938425079328</v>
      </c>
      <c r="AC346" s="2" t="n">
        <v>52573.8328721846</v>
      </c>
      <c r="AD346" s="2" t="n">
        <v>164156.035639327</v>
      </c>
      <c r="AE346" s="3" t="n">
        <v>0.320267437425795</v>
      </c>
      <c r="AF346" s="3" t="n">
        <v>-1.64265097255508</v>
      </c>
      <c r="AG346" s="3" t="s">
        <v>57</v>
      </c>
      <c r="AH346" s="2" t="n">
        <v>0.0000330432494180789</v>
      </c>
      <c r="AI346" s="2" t="n">
        <v>0.000768386672975963</v>
      </c>
      <c r="AJ346" s="2" t="n">
        <v>74902.0617105668</v>
      </c>
      <c r="AK346" s="2" t="n">
        <v>48159.3571202606</v>
      </c>
      <c r="AL346" s="2" t="n">
        <v>51021.0833123876</v>
      </c>
      <c r="AM346" s="2" t="n">
        <v>57727.9030418528</v>
      </c>
      <c r="AN346" s="2" t="n">
        <v>31058.759175855</v>
      </c>
      <c r="AO346" s="2" t="n">
        <v>145138.507622196</v>
      </c>
      <c r="AP346" s="2" t="n">
        <v>153229.52151951</v>
      </c>
      <c r="AQ346" s="2" t="n">
        <v>196085.902890459</v>
      </c>
      <c r="AR346" s="2" t="n">
        <v>139824.512978508</v>
      </c>
      <c r="AS346" s="2" t="n">
        <v>186501.73318596</v>
      </c>
    </row>
    <row r="347">
      <c r="A347" s="2" t="s">
        <v>2369</v>
      </c>
      <c r="B347" s="2" t="n">
        <v>306.129561656255</v>
      </c>
      <c r="C347" s="2" t="n">
        <v>0.764783333333333</v>
      </c>
      <c r="D347" s="2" t="s">
        <v>59</v>
      </c>
      <c r="E347" s="2" t="s">
        <v>2370</v>
      </c>
      <c r="F347" s="2" t="n">
        <v>264311</v>
      </c>
      <c r="G347" s="5" t="str">
        <f>HYPERLINK("http://funmeta.oebiotech.com/network/264311", "http://funmeta.oebiotech.com/network/264311")</f>
      </c>
      <c r="H347" s="2"/>
      <c r="I347" s="2" t="n">
        <v>21764</v>
      </c>
      <c r="J347" s="2"/>
      <c r="K347" s="2"/>
      <c r="L347" s="2"/>
      <c r="M347" s="2"/>
      <c r="N347" s="2"/>
      <c r="O347" s="2" t="n">
        <v>145455509</v>
      </c>
      <c r="P347" s="2"/>
      <c r="Q347" s="2" t="s">
        <v>2371</v>
      </c>
      <c r="R347" s="2" t="s">
        <v>2372</v>
      </c>
      <c r="S347" s="2" t="s">
        <v>110</v>
      </c>
      <c r="T347" s="2" t="s">
        <v>111</v>
      </c>
      <c r="U347" s="2" t="s">
        <v>112</v>
      </c>
      <c r="V347" s="2" t="s">
        <v>92</v>
      </c>
      <c r="W347" s="2" t="n">
        <v>52.8</v>
      </c>
      <c r="X347" s="2" t="n">
        <v>58.5</v>
      </c>
      <c r="Y347" s="2" t="s">
        <v>248</v>
      </c>
      <c r="Z347" s="2" t="s">
        <v>2373</v>
      </c>
      <c r="AA347" s="2" t="n">
        <v>-0.0482966842260594</v>
      </c>
      <c r="AB347" s="2" t="n">
        <v>1.00875055018874</v>
      </c>
      <c r="AC347" s="2" t="n">
        <v>61811.2876070277</v>
      </c>
      <c r="AD347" s="2" t="n">
        <v>179587.710173244</v>
      </c>
      <c r="AE347" s="3" t="n">
        <v>0.344184396289701</v>
      </c>
      <c r="AF347" s="3" t="n">
        <v>-1.53874640107037</v>
      </c>
      <c r="AG347" s="3" t="s">
        <v>57</v>
      </c>
      <c r="AH347" s="2" t="n">
        <v>0.000216613495705981</v>
      </c>
      <c r="AI347" s="2" t="n">
        <v>0.00235501871027282</v>
      </c>
      <c r="AJ347" s="2" t="n">
        <v>71880.7295027257</v>
      </c>
      <c r="AK347" s="2" t="n">
        <v>66978.7644748795</v>
      </c>
      <c r="AL347" s="2" t="n">
        <v>77025.1711522874</v>
      </c>
      <c r="AM347" s="2" t="n">
        <v>93171.7729038818</v>
      </c>
      <c r="AN347" s="2" t="n">
        <v>0.00000136409140715624</v>
      </c>
      <c r="AO347" s="2" t="n">
        <v>157303.705857035</v>
      </c>
      <c r="AP347" s="2" t="n">
        <v>183899.857893807</v>
      </c>
      <c r="AQ347" s="2" t="n">
        <v>195610.895653632</v>
      </c>
      <c r="AR347" s="2" t="n">
        <v>159280.309059259</v>
      </c>
      <c r="AS347" s="2" t="n">
        <v>201843.782402485</v>
      </c>
    </row>
    <row r="348">
      <c r="A348" s="2" t="s">
        <v>2374</v>
      </c>
      <c r="B348" s="2" t="n">
        <v>187.107895503549</v>
      </c>
      <c r="C348" s="2" t="n">
        <v>1.05406666666667</v>
      </c>
      <c r="D348" s="2" t="s">
        <v>59</v>
      </c>
      <c r="E348" s="2" t="s">
        <v>2375</v>
      </c>
      <c r="F348" s="2" t="n">
        <v>53735</v>
      </c>
      <c r="G348" s="5" t="str">
        <f>HYPERLINK("http://funmeta.oebiotech.com/network/53735", "http://funmeta.oebiotech.com/network/53735")</f>
      </c>
      <c r="H348" s="2" t="s">
        <v>2376</v>
      </c>
      <c r="I348" s="2" t="n">
        <v>85610</v>
      </c>
      <c r="J348" s="2"/>
      <c r="K348" s="2" t="n">
        <v>73393</v>
      </c>
      <c r="L348" s="2"/>
      <c r="M348" s="2"/>
      <c r="N348" s="2"/>
      <c r="O348" s="2" t="n">
        <v>83525</v>
      </c>
      <c r="P348" s="2" t="s">
        <v>2377</v>
      </c>
      <c r="Q348" s="2" t="s">
        <v>2378</v>
      </c>
      <c r="R348" s="2" t="s">
        <v>2379</v>
      </c>
      <c r="S348" s="2" t="s">
        <v>110</v>
      </c>
      <c r="T348" s="2" t="s">
        <v>111</v>
      </c>
      <c r="U348" s="2" t="s">
        <v>112</v>
      </c>
      <c r="V348" s="2" t="s">
        <v>54</v>
      </c>
      <c r="W348" s="2" t="n">
        <v>47.1</v>
      </c>
      <c r="X348" s="2" t="n">
        <v>39</v>
      </c>
      <c r="Y348" s="2" t="s">
        <v>78</v>
      </c>
      <c r="Z348" s="2" t="s">
        <v>648</v>
      </c>
      <c r="AA348" s="2" t="n">
        <v>0.949778984246025</v>
      </c>
      <c r="AB348" s="2" t="n">
        <v>1.0059141986719</v>
      </c>
      <c r="AC348" s="2" t="n">
        <v>88208.5720320564</v>
      </c>
      <c r="AD348" s="2" t="n">
        <v>225349.078210669</v>
      </c>
      <c r="AE348" s="3" t="n">
        <v>0.391430809180387</v>
      </c>
      <c r="AF348" s="3" t="n">
        <v>-1.35317078117489</v>
      </c>
      <c r="AG348" s="3" t="s">
        <v>57</v>
      </c>
      <c r="AH348" s="2" t="n">
        <v>0.0358469110095531</v>
      </c>
      <c r="AI348" s="2" t="n">
        <v>0.0852874131205769</v>
      </c>
      <c r="AJ348" s="2" t="n">
        <v>99437.6742760418</v>
      </c>
      <c r="AK348" s="2" t="n">
        <v>95342.3074286912</v>
      </c>
      <c r="AL348" s="2" t="n">
        <v>79666.4667399917</v>
      </c>
      <c r="AM348" s="2" t="n">
        <v>93313.2476385505</v>
      </c>
      <c r="AN348" s="2" t="n">
        <v>73283.1640770067</v>
      </c>
      <c r="AO348" s="2" t="n">
        <v>151864.99485659</v>
      </c>
      <c r="AP348" s="2" t="n">
        <v>139592.750574653</v>
      </c>
      <c r="AQ348" s="2" t="n">
        <v>407041.22791815</v>
      </c>
      <c r="AR348" s="2" t="n">
        <v>134286.582942559</v>
      </c>
      <c r="AS348" s="2" t="n">
        <v>293959.834761391</v>
      </c>
    </row>
    <row r="349">
      <c r="A349" s="2" t="s">
        <v>2380</v>
      </c>
      <c r="B349" s="2" t="n">
        <v>295.129225797783</v>
      </c>
      <c r="C349" s="2" t="n">
        <v>3.74683333333333</v>
      </c>
      <c r="D349" s="2" t="s">
        <v>59</v>
      </c>
      <c r="E349" s="2" t="s">
        <v>2381</v>
      </c>
      <c r="F349" s="2" t="n">
        <v>266147</v>
      </c>
      <c r="G349" s="5" t="str">
        <f>HYPERLINK("http://funmeta.oebiotech.com/network/266147", "http://funmeta.oebiotech.com/network/266147")</f>
      </c>
      <c r="H349" s="2"/>
      <c r="I349" s="2" t="n">
        <v>23756</v>
      </c>
      <c r="J349" s="2"/>
      <c r="K349" s="2"/>
      <c r="L349" s="2"/>
      <c r="M349" s="2"/>
      <c r="N349" s="2"/>
      <c r="O349" s="2" t="n">
        <v>19365626</v>
      </c>
      <c r="P349" s="2"/>
      <c r="Q349" s="2" t="s">
        <v>2382</v>
      </c>
      <c r="R349" s="2" t="s">
        <v>2383</v>
      </c>
      <c r="S349" s="2" t="s">
        <v>110</v>
      </c>
      <c r="T349" s="2" t="s">
        <v>111</v>
      </c>
      <c r="U349" s="2" t="s">
        <v>112</v>
      </c>
      <c r="V349" s="2" t="s">
        <v>92</v>
      </c>
      <c r="W349" s="2" t="n">
        <v>57</v>
      </c>
      <c r="X349" s="2" t="n">
        <v>74.1</v>
      </c>
      <c r="Y349" s="2" t="s">
        <v>304</v>
      </c>
      <c r="Z349" s="2" t="s">
        <v>2384</v>
      </c>
      <c r="AA349" s="2" t="n">
        <v>1.2840986842556</v>
      </c>
      <c r="AB349" s="2" t="n">
        <v>1.00586509434591</v>
      </c>
      <c r="AC349" s="2" t="n">
        <v>102604.119558726</v>
      </c>
      <c r="AD349" s="2" t="n">
        <v>247000.511446584</v>
      </c>
      <c r="AE349" s="3" t="n">
        <v>0.415400433617787</v>
      </c>
      <c r="AF349" s="3" t="n">
        <v>-1.2674253727397</v>
      </c>
      <c r="AG349" s="3" t="s">
        <v>57</v>
      </c>
      <c r="AH349" s="2" t="n">
        <v>0.0120832130444794</v>
      </c>
      <c r="AI349" s="2" t="n">
        <v>0.0407872300917675</v>
      </c>
      <c r="AJ349" s="2" t="n">
        <v>107987.117904506</v>
      </c>
      <c r="AK349" s="2" t="n">
        <v>164977.541516601</v>
      </c>
      <c r="AL349" s="2" t="n">
        <v>151287.155081547</v>
      </c>
      <c r="AM349" s="2" t="n">
        <v>70300.7267009706</v>
      </c>
      <c r="AN349" s="2" t="n">
        <v>18468.0565900065</v>
      </c>
      <c r="AO349" s="2" t="n">
        <v>155284.139058837</v>
      </c>
      <c r="AP349" s="2" t="n">
        <v>246887.331487273</v>
      </c>
      <c r="AQ349" s="2" t="n">
        <v>248603.921008278</v>
      </c>
      <c r="AR349" s="2" t="n">
        <v>211152.144296443</v>
      </c>
      <c r="AS349" s="2" t="n">
        <v>373075.021382091</v>
      </c>
    </row>
    <row r="350">
      <c r="A350" s="2" t="s">
        <v>2385</v>
      </c>
      <c r="B350" s="2" t="n">
        <v>693.282310865595</v>
      </c>
      <c r="C350" s="2" t="n">
        <v>7.54371666666667</v>
      </c>
      <c r="D350" s="2" t="s">
        <v>59</v>
      </c>
      <c r="E350" s="2" t="s">
        <v>2386</v>
      </c>
      <c r="F350" s="2" t="n">
        <v>256185</v>
      </c>
      <c r="G350" s="5" t="str">
        <f>HYPERLINK("http://funmeta.oebiotech.com/network/256185", "http://funmeta.oebiotech.com/network/256185")</f>
      </c>
      <c r="H350" s="2" t="s">
        <v>2387</v>
      </c>
      <c r="I350" s="2"/>
      <c r="J350" s="2"/>
      <c r="K350" s="2"/>
      <c r="L350" s="2"/>
      <c r="M350" s="2"/>
      <c r="N350" s="2"/>
      <c r="O350" s="2" t="n">
        <v>24836924</v>
      </c>
      <c r="P350" s="2"/>
      <c r="Q350" s="2" t="s">
        <v>2388</v>
      </c>
      <c r="R350" s="2" t="s">
        <v>2389</v>
      </c>
      <c r="S350" s="2" t="s">
        <v>137</v>
      </c>
      <c r="T350" s="2" t="s">
        <v>138</v>
      </c>
      <c r="U350" s="2" t="s">
        <v>675</v>
      </c>
      <c r="V350" s="2" t="s">
        <v>54</v>
      </c>
      <c r="W350" s="2" t="n">
        <v>38.8</v>
      </c>
      <c r="X350" s="2" t="n">
        <v>0</v>
      </c>
      <c r="Y350" s="2" t="s">
        <v>332</v>
      </c>
      <c r="Z350" s="2" t="s">
        <v>2390</v>
      </c>
      <c r="AA350" s="2" t="n">
        <v>1.64747370241212</v>
      </c>
      <c r="AB350" s="2" t="n">
        <v>1.00495970285115</v>
      </c>
      <c r="AC350" s="2" t="n">
        <v>29271.2825772111</v>
      </c>
      <c r="AD350" s="2" t="n">
        <v>170224.345987269</v>
      </c>
      <c r="AE350" s="3" t="n">
        <v>0.171957086440504</v>
      </c>
      <c r="AF350" s="3" t="n">
        <v>-2.53987952358846</v>
      </c>
      <c r="AG350" s="3" t="s">
        <v>57</v>
      </c>
      <c r="AH350" s="2" t="n">
        <v>0.0394649746336249</v>
      </c>
      <c r="AI350" s="2" t="n">
        <v>0.0907632462139098</v>
      </c>
      <c r="AJ350" s="2" t="n">
        <v>22001.961937939</v>
      </c>
      <c r="AK350" s="2" t="n">
        <v>12858.7481651456</v>
      </c>
      <c r="AL350" s="2" t="n">
        <v>102149.96295696</v>
      </c>
      <c r="AM350" s="2" t="n">
        <v>7630.45159845632</v>
      </c>
      <c r="AN350" s="2" t="n">
        <v>1715.28822755472</v>
      </c>
      <c r="AO350" s="2" t="n">
        <v>91464.8629707497</v>
      </c>
      <c r="AP350" s="2" t="n">
        <v>88911.8450951072</v>
      </c>
      <c r="AQ350" s="2" t="n">
        <v>378907.156930534</v>
      </c>
      <c r="AR350" s="2" t="n">
        <v>119627.504008749</v>
      </c>
      <c r="AS350" s="2" t="n">
        <v>172210.360931206</v>
      </c>
    </row>
    <row r="351">
      <c r="A351" s="2" t="s">
        <v>2391</v>
      </c>
      <c r="B351" s="2" t="n">
        <v>913.587449254184</v>
      </c>
      <c r="C351" s="2" t="n">
        <v>8.62756666666667</v>
      </c>
      <c r="D351" s="2" t="s">
        <v>46</v>
      </c>
      <c r="E351" s="2" t="s">
        <v>2392</v>
      </c>
      <c r="F351" s="2" t="n">
        <v>18096</v>
      </c>
      <c r="G351" s="5" t="str">
        <f>HYPERLINK("http://funmeta.oebiotech.com/network/18096", "http://funmeta.oebiotech.com/network/18096")</f>
      </c>
      <c r="H351" s="2"/>
      <c r="I351" s="2"/>
      <c r="J351" s="2" t="s">
        <v>2393</v>
      </c>
      <c r="K351" s="2"/>
      <c r="L351" s="2"/>
      <c r="M351" s="2"/>
      <c r="N351" s="2"/>
      <c r="O351" s="2" t="n">
        <v>10843454</v>
      </c>
      <c r="P351" s="2"/>
      <c r="Q351" s="2" t="s">
        <v>2394</v>
      </c>
      <c r="R351" s="2" t="s">
        <v>2395</v>
      </c>
      <c r="S351" s="2" t="s">
        <v>66</v>
      </c>
      <c r="T351" s="2" t="s">
        <v>2396</v>
      </c>
      <c r="U351" s="2" t="s">
        <v>2397</v>
      </c>
      <c r="V351" s="2" t="s">
        <v>54</v>
      </c>
      <c r="W351" s="2" t="n">
        <v>38.7</v>
      </c>
      <c r="X351" s="2" t="n">
        <v>0</v>
      </c>
      <c r="Y351" s="2" t="s">
        <v>290</v>
      </c>
      <c r="Z351" s="2" t="s">
        <v>2398</v>
      </c>
      <c r="AA351" s="2" t="n">
        <v>-2.12811318405</v>
      </c>
      <c r="AB351" s="2" t="n">
        <v>1.00490228593017</v>
      </c>
      <c r="AC351" s="2" t="n">
        <v>182936.685675361</v>
      </c>
      <c r="AD351" s="2" t="n">
        <v>60289.422497847</v>
      </c>
      <c r="AE351" s="4" t="n">
        <v>3.03430814388534</v>
      </c>
      <c r="AF351" s="4" t="n">
        <v>1.60136760341005</v>
      </c>
      <c r="AG351" s="4" t="s">
        <v>72</v>
      </c>
      <c r="AH351" s="2" t="n">
        <v>0.00704081186391551</v>
      </c>
      <c r="AI351" s="2" t="n">
        <v>0.0284742287940268</v>
      </c>
      <c r="AJ351" s="2" t="n">
        <v>248738.942552406</v>
      </c>
      <c r="AK351" s="2" t="n">
        <v>112413.672213575</v>
      </c>
      <c r="AL351" s="2" t="n">
        <v>97458.756342546</v>
      </c>
      <c r="AM351" s="2" t="n">
        <v>193709.061636814</v>
      </c>
      <c r="AN351" s="2" t="n">
        <v>262362.995631466</v>
      </c>
      <c r="AO351" s="2" t="n">
        <v>56068.9065383463</v>
      </c>
      <c r="AP351" s="2" t="n">
        <v>70386.482406191</v>
      </c>
      <c r="AQ351" s="2" t="n">
        <v>55709.4666845616</v>
      </c>
      <c r="AR351" s="2" t="n">
        <v>67114.3820743872</v>
      </c>
      <c r="AS351" s="2" t="n">
        <v>52167.874785749</v>
      </c>
    </row>
    <row r="352">
      <c r="A352" s="2" t="s">
        <v>2399</v>
      </c>
      <c r="B352" s="2" t="n">
        <v>283.126968130684</v>
      </c>
      <c r="C352" s="2" t="n">
        <v>3.78195</v>
      </c>
      <c r="D352" s="2" t="s">
        <v>59</v>
      </c>
      <c r="E352" s="2" t="s">
        <v>2400</v>
      </c>
      <c r="F352" s="2" t="n">
        <v>266135</v>
      </c>
      <c r="G352" s="5" t="str">
        <f>HYPERLINK("http://funmeta.oebiotech.com/network/266135", "http://funmeta.oebiotech.com/network/266135")</f>
      </c>
      <c r="H352" s="2"/>
      <c r="I352" s="2" t="n">
        <v>23704</v>
      </c>
      <c r="J352" s="2"/>
      <c r="K352" s="2"/>
      <c r="L352" s="2"/>
      <c r="M352" s="2"/>
      <c r="N352" s="2"/>
      <c r="O352" s="2" t="n">
        <v>145453503</v>
      </c>
      <c r="P352" s="2"/>
      <c r="Q352" s="2" t="s">
        <v>2401</v>
      </c>
      <c r="R352" s="2" t="s">
        <v>2402</v>
      </c>
      <c r="S352" s="2" t="s">
        <v>110</v>
      </c>
      <c r="T352" s="2" t="s">
        <v>111</v>
      </c>
      <c r="U352" s="2" t="s">
        <v>112</v>
      </c>
      <c r="V352" s="2" t="s">
        <v>92</v>
      </c>
      <c r="W352" s="2" t="n">
        <v>59.9</v>
      </c>
      <c r="X352" s="2" t="n">
        <v>81.7</v>
      </c>
      <c r="Y352" s="2" t="s">
        <v>248</v>
      </c>
      <c r="Z352" s="2" t="s">
        <v>2403</v>
      </c>
      <c r="AA352" s="2" t="n">
        <v>-6.66374416184887</v>
      </c>
      <c r="AB352" s="2" t="n">
        <v>1.00289124956013</v>
      </c>
      <c r="AC352" s="2" t="n">
        <v>187174.208384361</v>
      </c>
      <c r="AD352" s="2" t="n">
        <v>57422.8861091548</v>
      </c>
      <c r="AE352" s="4" t="n">
        <v>3.25957507653939</v>
      </c>
      <c r="AF352" s="4" t="n">
        <v>1.70468390466318</v>
      </c>
      <c r="AG352" s="4" t="s">
        <v>72</v>
      </c>
      <c r="AH352" s="2" t="n">
        <v>0.0341551240386721</v>
      </c>
      <c r="AI352" s="2" t="n">
        <v>0.0828579896334939</v>
      </c>
      <c r="AJ352" s="2" t="n">
        <v>331719.765372834</v>
      </c>
      <c r="AK352" s="2" t="n">
        <v>69611.2757851618</v>
      </c>
      <c r="AL352" s="2" t="n">
        <v>75002.4572360851</v>
      </c>
      <c r="AM352" s="2" t="n">
        <v>228183.441521652</v>
      </c>
      <c r="AN352" s="2" t="n">
        <v>231354.102006072</v>
      </c>
      <c r="AO352" s="2" t="n">
        <v>44726.8004498814</v>
      </c>
      <c r="AP352" s="2" t="n">
        <v>58864.732510712</v>
      </c>
      <c r="AQ352" s="2" t="n">
        <v>48441.9776888687</v>
      </c>
      <c r="AR352" s="2" t="n">
        <v>53626.9819638224</v>
      </c>
      <c r="AS352" s="2" t="n">
        <v>81453.9379324895</v>
      </c>
    </row>
    <row r="353">
      <c r="A353" s="2" t="s">
        <v>2404</v>
      </c>
      <c r="B353" s="2" t="n">
        <v>472.241412214849</v>
      </c>
      <c r="C353" s="2" t="n">
        <v>3.82696666666667</v>
      </c>
      <c r="D353" s="2" t="s">
        <v>46</v>
      </c>
      <c r="E353" s="2" t="s">
        <v>2405</v>
      </c>
      <c r="F353" s="2" t="n">
        <v>213100</v>
      </c>
      <c r="G353" s="5" t="str">
        <f>HYPERLINK("http://funmeta.oebiotech.com/network/213100", "http://funmeta.oebiotech.com/network/213100")</f>
      </c>
      <c r="H353" s="2" t="s">
        <v>2406</v>
      </c>
      <c r="I353" s="2"/>
      <c r="J353" s="2"/>
      <c r="K353" s="2"/>
      <c r="L353" s="2"/>
      <c r="M353" s="2"/>
      <c r="N353" s="2"/>
      <c r="O353" s="2" t="n">
        <v>21917703</v>
      </c>
      <c r="P353" s="2"/>
      <c r="Q353" s="2" t="s">
        <v>2407</v>
      </c>
      <c r="R353" s="2" t="s">
        <v>2408</v>
      </c>
      <c r="S353" s="2" t="s">
        <v>77</v>
      </c>
      <c r="T353" s="2" t="s">
        <v>77</v>
      </c>
      <c r="U353" s="2" t="s">
        <v>77</v>
      </c>
      <c r="V353" s="2" t="s">
        <v>69</v>
      </c>
      <c r="W353" s="2" t="n">
        <v>47.2</v>
      </c>
      <c r="X353" s="2" t="n">
        <v>46.6</v>
      </c>
      <c r="Y353" s="2" t="s">
        <v>131</v>
      </c>
      <c r="Z353" s="2" t="s">
        <v>2409</v>
      </c>
      <c r="AA353" s="2" t="n">
        <v>0.293849529140302</v>
      </c>
      <c r="AB353" s="2" t="n">
        <v>1.00160964941218</v>
      </c>
      <c r="AC353" s="2" t="n">
        <v>54359.9489815317</v>
      </c>
      <c r="AD353" s="2" t="n">
        <v>165884.287049153</v>
      </c>
      <c r="AE353" s="3" t="n">
        <v>0.327697999301311</v>
      </c>
      <c r="AF353" s="3" t="n">
        <v>-1.60956123008386</v>
      </c>
      <c r="AG353" s="3" t="s">
        <v>57</v>
      </c>
      <c r="AH353" s="2" t="n">
        <v>0.000569143538672143</v>
      </c>
      <c r="AI353" s="2" t="n">
        <v>0.00451656941162744</v>
      </c>
      <c r="AJ353" s="2" t="n">
        <v>19854.6001807702</v>
      </c>
      <c r="AK353" s="2" t="n">
        <v>89737.8351512311</v>
      </c>
      <c r="AL353" s="2" t="n">
        <v>102815.233731714</v>
      </c>
      <c r="AM353" s="2" t="n">
        <v>59102.850540036</v>
      </c>
      <c r="AN353" s="2" t="n">
        <v>289.225303907131</v>
      </c>
      <c r="AO353" s="2" t="n">
        <v>181187.231556229</v>
      </c>
      <c r="AP353" s="2" t="n">
        <v>151946.625738158</v>
      </c>
      <c r="AQ353" s="2" t="n">
        <v>164866.523753297</v>
      </c>
      <c r="AR353" s="2" t="n">
        <v>170016.160004893</v>
      </c>
      <c r="AS353" s="2" t="n">
        <v>161404.894193187</v>
      </c>
    </row>
    <row r="354">
      <c r="A354" s="2" t="s">
        <v>2410</v>
      </c>
      <c r="B354" s="2" t="n">
        <v>555.124525915197</v>
      </c>
      <c r="C354" s="2" t="n">
        <v>3.36566666666667</v>
      </c>
      <c r="D354" s="2" t="s">
        <v>46</v>
      </c>
      <c r="E354" s="2" t="s">
        <v>2411</v>
      </c>
      <c r="F354" s="2" t="n">
        <v>204656</v>
      </c>
      <c r="G354" s="5" t="str">
        <f>HYPERLINK("http://funmeta.oebiotech.com/network/204656", "http://funmeta.oebiotech.com/network/204656")</f>
      </c>
      <c r="H354" s="2" t="s">
        <v>2412</v>
      </c>
      <c r="I354" s="2"/>
      <c r="J354" s="2"/>
      <c r="K354" s="2"/>
      <c r="L354" s="2"/>
      <c r="M354" s="2"/>
      <c r="N354" s="2"/>
      <c r="O354" s="2" t="n">
        <v>4487903</v>
      </c>
      <c r="P354" s="2"/>
      <c r="Q354" s="2" t="s">
        <v>2413</v>
      </c>
      <c r="R354" s="2" t="s">
        <v>2414</v>
      </c>
      <c r="S354" s="2" t="s">
        <v>51</v>
      </c>
      <c r="T354" s="2" t="s">
        <v>2415</v>
      </c>
      <c r="U354" s="2" t="s">
        <v>2416</v>
      </c>
      <c r="V354" s="2" t="s">
        <v>54</v>
      </c>
      <c r="W354" s="2" t="n">
        <v>37.5</v>
      </c>
      <c r="X354" s="2" t="n">
        <v>0</v>
      </c>
      <c r="Y354" s="2" t="s">
        <v>290</v>
      </c>
      <c r="Z354" s="2" t="s">
        <v>2417</v>
      </c>
      <c r="AA354" s="2" t="n">
        <v>-0.806337544376368</v>
      </c>
      <c r="AB354" s="2" t="n">
        <v>1.00117620767177</v>
      </c>
      <c r="AC354" s="2" t="n">
        <v>133407.122194403</v>
      </c>
      <c r="AD354" s="2" t="n">
        <v>289689.518705368</v>
      </c>
      <c r="AE354" s="3" t="n">
        <v>0.460517601018512</v>
      </c>
      <c r="AF354" s="3" t="n">
        <v>-1.11867179760038</v>
      </c>
      <c r="AG354" s="3" t="s">
        <v>57</v>
      </c>
      <c r="AH354" s="2" t="n">
        <v>0.00738263081873289</v>
      </c>
      <c r="AI354" s="2" t="n">
        <v>0.0294902635294988</v>
      </c>
      <c r="AJ354" s="2" t="n">
        <v>178573.056732855</v>
      </c>
      <c r="AK354" s="2" t="n">
        <v>223236.592879484</v>
      </c>
      <c r="AL354" s="2" t="n">
        <v>128873.680448434</v>
      </c>
      <c r="AM354" s="2" t="n">
        <v>136352.280909879</v>
      </c>
      <c r="AN354" s="2" t="n">
        <v>0.00000136409140715624</v>
      </c>
      <c r="AO354" s="2" t="n">
        <v>293384.485337703</v>
      </c>
      <c r="AP354" s="2" t="n">
        <v>294584.428233672</v>
      </c>
      <c r="AQ354" s="2" t="n">
        <v>203787.660443084</v>
      </c>
      <c r="AR354" s="2" t="n">
        <v>319241.059114693</v>
      </c>
      <c r="AS354" s="2" t="n">
        <v>337449.960397686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/>
  <cp:lastModifiedBy/>
  <dcterms:created xsi:type="dcterms:W3CDTF">2023-09-26T13:37:54Z</dcterms:created>
</coreProperties>
</file>