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Arman\utalca\Semester4\Taller de publicacion\Carbo Capture\capture and storage\DATA\"/>
    </mc:Choice>
  </mc:AlternateContent>
  <xr:revisionPtr revIDLastSave="0" documentId="13_ncr:1_{A3020180-AED4-4633-81E7-1228B5386A4F}" xr6:coauthVersionLast="47" xr6:coauthVersionMax="47" xr10:uidLastSave="{00000000-0000-0000-0000-000000000000}"/>
  <bookViews>
    <workbookView xWindow="-108" yWindow="-108" windowWidth="23256" windowHeight="12456" firstSheet="15" activeTab="17" xr2:uid="{00000000-000D-0000-FFFF-FFFF00000000}"/>
  </bookViews>
  <sheets>
    <sheet name="LD (i,j,offshore)" sheetId="23" r:id="rId1"/>
    <sheet name="LD (i,j,onshore)" sheetId="21" r:id="rId2"/>
    <sheet name="distance" sheetId="8" r:id="rId3"/>
    <sheet name="sequestration source.old" sheetId="2" r:id="rId4"/>
    <sheet name="capture source" sheetId="1" r:id="rId5"/>
    <sheet name="dim1" sheetId="9" r:id="rId6"/>
    <sheet name="dim2" sheetId="10" r:id="rId7"/>
    <sheet name="sequestration source (main)" sheetId="7" r:id="rId8"/>
    <sheet name="dim1 new" sheetId="13" r:id="rId9"/>
    <sheet name="pipeline" sheetId="3" r:id="rId10"/>
    <sheet name="unitary transport cost" sheetId="5" r:id="rId11"/>
    <sheet name="dim2 new" sheetId="14" r:id="rId12"/>
    <sheet name="distance new" sheetId="18" r:id="rId13"/>
    <sheet name="capture new" sheetId="12" r:id="rId14"/>
    <sheet name="sequestration new" sheetId="11" r:id="rId15"/>
    <sheet name="capture cost" sheetId="20" r:id="rId16"/>
    <sheet name="Result" sheetId="19" r:id="rId17"/>
    <sheet name="result final" sheetId="24" r:id="rId18"/>
  </sheets>
  <definedNames>
    <definedName name="_xlnm._FilterDatabase" localSheetId="4" hidden="1">'capture source'!$B$1:$T$93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4" l="1"/>
  <c r="F22" i="24"/>
  <c r="E23" i="24"/>
  <c r="E22" i="24"/>
  <c r="F21" i="24"/>
  <c r="E21" i="24"/>
  <c r="F20" i="24"/>
  <c r="E20" i="24"/>
  <c r="F19" i="24"/>
  <c r="E19" i="24"/>
  <c r="F18" i="24"/>
  <c r="E18" i="24"/>
  <c r="F17" i="24"/>
  <c r="E17" i="24"/>
  <c r="G23" i="24"/>
  <c r="G22" i="24"/>
  <c r="G21" i="24"/>
  <c r="G20" i="24"/>
  <c r="G19" i="24"/>
  <c r="G18" i="24"/>
  <c r="G17" i="24"/>
  <c r="D23" i="24"/>
  <c r="D22" i="24"/>
  <c r="C11" i="24"/>
  <c r="D21" i="24"/>
  <c r="D20" i="24"/>
  <c r="C23" i="24"/>
  <c r="C22" i="24"/>
  <c r="C21" i="24"/>
  <c r="C20" i="24"/>
  <c r="C19" i="24"/>
  <c r="C13" i="24"/>
  <c r="AZ25" i="24"/>
  <c r="AU25" i="24"/>
  <c r="C12" i="24" s="1"/>
  <c r="AP25" i="24"/>
  <c r="AK25" i="24"/>
  <c r="C10" i="24" s="1"/>
  <c r="C9" i="24"/>
  <c r="AF25" i="24"/>
  <c r="D8" i="24"/>
  <c r="D9" i="24"/>
  <c r="D10" i="24"/>
  <c r="D11" i="24"/>
  <c r="D12" i="24"/>
  <c r="D13" i="24"/>
  <c r="D7" i="24"/>
  <c r="I7" i="24"/>
  <c r="AA25" i="24"/>
  <c r="C8" i="24" s="1"/>
  <c r="V25" i="24"/>
  <c r="C7" i="24" s="1"/>
  <c r="I6" i="24"/>
  <c r="Q25" i="24"/>
  <c r="C6" i="24" s="1"/>
  <c r="L25" i="24"/>
  <c r="C4" i="24" s="1"/>
  <c r="K13" i="24"/>
  <c r="K11" i="24"/>
  <c r="K7" i="24"/>
  <c r="K12" i="24"/>
  <c r="K6" i="24"/>
  <c r="D6" i="24" s="1"/>
  <c r="K4" i="24"/>
  <c r="D4" i="24" s="1"/>
  <c r="K10" i="24"/>
  <c r="F14" i="19"/>
  <c r="E13" i="19"/>
  <c r="E12" i="19"/>
  <c r="C13" i="19"/>
  <c r="J4" i="5"/>
  <c r="J5" i="5"/>
  <c r="J6" i="5"/>
  <c r="J7" i="5"/>
  <c r="J8" i="5"/>
  <c r="J3" i="5"/>
  <c r="M3" i="3"/>
  <c r="M4" i="3"/>
  <c r="M5" i="3"/>
  <c r="M6" i="3"/>
  <c r="M7" i="3"/>
  <c r="M2" i="3"/>
  <c r="L3" i="3"/>
  <c r="K3" i="3"/>
  <c r="K4" i="3"/>
  <c r="K5" i="3"/>
  <c r="K6" i="3"/>
  <c r="K7" i="3"/>
  <c r="K2" i="3"/>
  <c r="L11" i="11"/>
  <c r="J3" i="12"/>
  <c r="K3" i="12"/>
  <c r="K2" i="12"/>
  <c r="K1" i="12"/>
  <c r="J2" i="12"/>
  <c r="I3" i="12"/>
  <c r="I6" i="12"/>
  <c r="I10" i="12"/>
  <c r="I11" i="12"/>
  <c r="I15" i="12"/>
  <c r="I18" i="12"/>
  <c r="I19" i="12"/>
  <c r="I22" i="12"/>
  <c r="I2" i="12"/>
  <c r="G19" i="3"/>
  <c r="G22" i="3" s="1"/>
  <c r="N3" i="3"/>
  <c r="N4" i="3"/>
  <c r="N5" i="3"/>
  <c r="N6" i="3"/>
  <c r="N7" i="3"/>
  <c r="N2" i="3"/>
  <c r="D2" i="20"/>
  <c r="F5" i="20"/>
  <c r="E5" i="20"/>
  <c r="H5" i="20"/>
  <c r="I5" i="20" s="1"/>
  <c r="D5" i="20"/>
  <c r="C5" i="20"/>
  <c r="C6" i="20"/>
  <c r="C7" i="20"/>
  <c r="C8" i="20"/>
  <c r="C9" i="20"/>
  <c r="E20" i="20"/>
  <c r="A16" i="20"/>
  <c r="D16" i="20" s="1"/>
  <c r="D6" i="20"/>
  <c r="D7" i="20"/>
  <c r="D8" i="20"/>
  <c r="D9" i="20"/>
  <c r="B13" i="20"/>
  <c r="B14" i="20" s="1"/>
  <c r="Q5" i="20"/>
  <c r="P5" i="20"/>
  <c r="G25" i="20"/>
  <c r="G24" i="20"/>
  <c r="G23" i="20"/>
  <c r="G22" i="20"/>
  <c r="G21" i="20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E6" i="20"/>
  <c r="E7" i="20"/>
  <c r="E8" i="20"/>
  <c r="E9" i="20"/>
  <c r="E14" i="20" s="1"/>
  <c r="E3" i="20"/>
  <c r="F2" i="20"/>
  <c r="G2" i="20" s="1"/>
  <c r="J2" i="20" s="1"/>
  <c r="H3" i="3"/>
  <c r="H4" i="3"/>
  <c r="H5" i="3"/>
  <c r="H6" i="3"/>
  <c r="H7" i="3"/>
  <c r="H2" i="3"/>
  <c r="G3" i="3"/>
  <c r="I3" i="3" s="1"/>
  <c r="G4" i="3"/>
  <c r="I4" i="3" s="1"/>
  <c r="G5" i="3"/>
  <c r="I5" i="3" s="1"/>
  <c r="G6" i="3"/>
  <c r="I6" i="3" s="1"/>
  <c r="G7" i="3"/>
  <c r="I7" i="3" s="1"/>
  <c r="G2" i="3"/>
  <c r="I2" i="3" s="1"/>
  <c r="R6" i="3"/>
  <c r="R7" i="3"/>
  <c r="R3" i="3"/>
  <c r="R4" i="3"/>
  <c r="R5" i="3"/>
  <c r="R2" i="3"/>
  <c r="V4" i="3"/>
  <c r="V5" i="3"/>
  <c r="V6" i="3"/>
  <c r="V7" i="3"/>
  <c r="V3" i="3"/>
  <c r="V2" i="3"/>
  <c r="E20" i="3"/>
  <c r="X3" i="3"/>
  <c r="X4" i="3"/>
  <c r="X5" i="3"/>
  <c r="X6" i="3"/>
  <c r="X7" i="3"/>
  <c r="X2" i="3"/>
  <c r="F14" i="5"/>
  <c r="L2" i="11"/>
  <c r="M2" i="11" s="1"/>
  <c r="F9" i="19"/>
  <c r="E9" i="19" s="1"/>
  <c r="B9" i="19"/>
  <c r="D9" i="19"/>
  <c r="F8" i="19"/>
  <c r="E8" i="19" s="1"/>
  <c r="B8" i="19"/>
  <c r="D8" i="19"/>
  <c r="E7" i="19"/>
  <c r="F7" i="19"/>
  <c r="B7" i="19"/>
  <c r="D7" i="19"/>
  <c r="D3" i="19"/>
  <c r="D4" i="19"/>
  <c r="D5" i="19"/>
  <c r="D6" i="19"/>
  <c r="D2" i="19"/>
  <c r="B6" i="19"/>
  <c r="F6" i="19" s="1"/>
  <c r="E6" i="19" s="1"/>
  <c r="B5" i="19"/>
  <c r="F5" i="19" s="1"/>
  <c r="E5" i="19" s="1"/>
  <c r="B4" i="19"/>
  <c r="F4" i="19" s="1"/>
  <c r="E4" i="19" s="1"/>
  <c r="E23" i="19"/>
  <c r="E24" i="19" s="1"/>
  <c r="E3" i="19"/>
  <c r="E2" i="19"/>
  <c r="H27" i="12"/>
  <c r="G27" i="12"/>
  <c r="G23" i="12"/>
  <c r="G24" i="12" s="1"/>
  <c r="L3" i="11"/>
  <c r="L4" i="11"/>
  <c r="L5" i="11"/>
  <c r="L6" i="11"/>
  <c r="L7" i="11"/>
  <c r="L8" i="11"/>
  <c r="L9" i="11"/>
  <c r="L10" i="11"/>
  <c r="H21" i="12"/>
  <c r="I21" i="12" s="1"/>
  <c r="H20" i="12"/>
  <c r="I20" i="12" s="1"/>
  <c r="H19" i="12"/>
  <c r="H17" i="12"/>
  <c r="I17" i="12" s="1"/>
  <c r="H16" i="12"/>
  <c r="I16" i="12" s="1"/>
  <c r="H15" i="12"/>
  <c r="H14" i="12"/>
  <c r="I14" i="12" s="1"/>
  <c r="H13" i="12"/>
  <c r="I13" i="12" s="1"/>
  <c r="H12" i="12"/>
  <c r="I12" i="12" s="1"/>
  <c r="H11" i="12"/>
  <c r="H10" i="12"/>
  <c r="H18" i="12"/>
  <c r="H22" i="12"/>
  <c r="H9" i="12"/>
  <c r="I9" i="12" s="1"/>
  <c r="H8" i="12"/>
  <c r="I8" i="12" s="1"/>
  <c r="H7" i="12"/>
  <c r="I7" i="12" s="1"/>
  <c r="H6" i="12"/>
  <c r="H5" i="12"/>
  <c r="I5" i="12" s="1"/>
  <c r="H4" i="12"/>
  <c r="I4" i="12" s="1"/>
  <c r="H3" i="12"/>
  <c r="H2" i="12"/>
  <c r="G8" i="11"/>
  <c r="O39" i="11"/>
  <c r="P39" i="11" s="1"/>
  <c r="O38" i="11"/>
  <c r="P38" i="11" s="1"/>
  <c r="O37" i="11"/>
  <c r="P37" i="11" s="1"/>
  <c r="O36" i="11"/>
  <c r="P36" i="11" s="1"/>
  <c r="O35" i="11"/>
  <c r="P35" i="11" s="1"/>
  <c r="O34" i="11"/>
  <c r="P34" i="11" s="1"/>
  <c r="O33" i="11"/>
  <c r="P33" i="11" s="1"/>
  <c r="O32" i="11"/>
  <c r="P32" i="11" s="1"/>
  <c r="O31" i="11"/>
  <c r="P31" i="11" s="1"/>
  <c r="O30" i="11"/>
  <c r="P30" i="11" s="1"/>
  <c r="O29" i="11"/>
  <c r="P29" i="11" s="1"/>
  <c r="O28" i="11"/>
  <c r="P28" i="11" s="1"/>
  <c r="O27" i="11"/>
  <c r="P27" i="11" s="1"/>
  <c r="O26" i="11"/>
  <c r="P26" i="11" s="1"/>
  <c r="O25" i="11"/>
  <c r="P25" i="11" s="1"/>
  <c r="O24" i="11"/>
  <c r="P24" i="11" s="1"/>
  <c r="O23" i="11"/>
  <c r="P23" i="11" s="1"/>
  <c r="O22" i="11"/>
  <c r="P22" i="11" s="1"/>
  <c r="O21" i="11"/>
  <c r="P21" i="11" s="1"/>
  <c r="O20" i="11"/>
  <c r="P20" i="11" s="1"/>
  <c r="O19" i="11"/>
  <c r="P19" i="11" s="1"/>
  <c r="O18" i="11"/>
  <c r="P18" i="11" s="1"/>
  <c r="B22" i="5"/>
  <c r="C21" i="5"/>
  <c r="C78" i="8"/>
  <c r="F77" i="8"/>
  <c r="G77" i="8" s="1"/>
  <c r="H77" i="8" s="1"/>
  <c r="F78" i="8"/>
  <c r="G78" i="8" s="1"/>
  <c r="H78" i="8" s="1"/>
  <c r="E77" i="8"/>
  <c r="E78" i="8"/>
  <c r="F76" i="8"/>
  <c r="G76" i="8" s="1"/>
  <c r="H76" i="8" s="1"/>
  <c r="E76" i="8"/>
  <c r="F75" i="8"/>
  <c r="G75" i="8" s="1"/>
  <c r="K73" i="8"/>
  <c r="L73" i="8" s="1"/>
  <c r="M73" i="8" s="1"/>
  <c r="N73" i="8" s="1"/>
  <c r="O73" i="8" s="1"/>
  <c r="P73" i="8" s="1"/>
  <c r="Q73" i="8" s="1"/>
  <c r="R73" i="8" s="1"/>
  <c r="S73" i="8" s="1"/>
  <c r="T73" i="8" s="1"/>
  <c r="U73" i="8" s="1"/>
  <c r="O74" i="8"/>
  <c r="P74" i="8" s="1"/>
  <c r="Q74" i="8" s="1"/>
  <c r="R74" i="8" s="1"/>
  <c r="S74" i="8" s="1"/>
  <c r="T74" i="8" s="1"/>
  <c r="U74" i="8" s="1"/>
  <c r="V74" i="8" s="1"/>
  <c r="J73" i="8"/>
  <c r="F74" i="8"/>
  <c r="G74" i="8" s="1"/>
  <c r="H74" i="8" s="1"/>
  <c r="E73" i="8"/>
  <c r="E74" i="8"/>
  <c r="F73" i="8"/>
  <c r="G73" i="8" s="1"/>
  <c r="H73" i="8" s="1"/>
  <c r="C73" i="8"/>
  <c r="C74" i="8"/>
  <c r="J72" i="8"/>
  <c r="K72" i="8" s="1"/>
  <c r="L72" i="8" s="1"/>
  <c r="M72" i="8" s="1"/>
  <c r="N72" i="8" s="1"/>
  <c r="O72" i="8" s="1"/>
  <c r="P72" i="8" s="1"/>
  <c r="Q72" i="8" s="1"/>
  <c r="R72" i="8" s="1"/>
  <c r="S72" i="8" s="1"/>
  <c r="T72" i="8" s="1"/>
  <c r="U72" i="8" s="1"/>
  <c r="V72" i="8" s="1"/>
  <c r="G72" i="8"/>
  <c r="H72" i="8" s="1"/>
  <c r="F72" i="8"/>
  <c r="C72" i="8"/>
  <c r="E72" i="8"/>
  <c r="P75" i="8"/>
  <c r="Q75" i="8" s="1"/>
  <c r="R75" i="8" s="1"/>
  <c r="P76" i="8"/>
  <c r="Q76" i="8" s="1"/>
  <c r="R76" i="8" s="1"/>
  <c r="P77" i="8"/>
  <c r="Q77" i="8" s="1"/>
  <c r="R77" i="8" s="1"/>
  <c r="P78" i="8"/>
  <c r="Q78" i="8" s="1"/>
  <c r="R78" i="8" s="1"/>
  <c r="P79" i="8"/>
  <c r="Q79" i="8" s="1"/>
  <c r="R79" i="8" s="1"/>
  <c r="P80" i="8"/>
  <c r="Q80" i="8" s="1"/>
  <c r="R80" i="8" s="1"/>
  <c r="P81" i="8"/>
  <c r="Q81" i="8" s="1"/>
  <c r="R81" i="8" s="1"/>
  <c r="P82" i="8"/>
  <c r="Q82" i="8" s="1"/>
  <c r="R82" i="8" s="1"/>
  <c r="P83" i="8"/>
  <c r="Q83" i="8" s="1"/>
  <c r="R83" i="8" s="1"/>
  <c r="P84" i="8"/>
  <c r="Q84" i="8" s="1"/>
  <c r="R84" i="8" s="1"/>
  <c r="P85" i="8"/>
  <c r="Q85" i="8" s="1"/>
  <c r="R85" i="8" s="1"/>
  <c r="P86" i="8"/>
  <c r="Q86" i="8" s="1"/>
  <c r="R86" i="8" s="1"/>
  <c r="P87" i="8"/>
  <c r="Q87" i="8" s="1"/>
  <c r="R87" i="8" s="1"/>
  <c r="P88" i="8"/>
  <c r="Q88" i="8" s="1"/>
  <c r="R88" i="8" s="1"/>
  <c r="P89" i="8"/>
  <c r="Q89" i="8" s="1"/>
  <c r="R89" i="8" s="1"/>
  <c r="P90" i="8"/>
  <c r="Q90" i="8" s="1"/>
  <c r="R90" i="8" s="1"/>
  <c r="P91" i="8"/>
  <c r="Q91" i="8" s="1"/>
  <c r="R91" i="8" s="1"/>
  <c r="P92" i="8"/>
  <c r="Q92" i="8" s="1"/>
  <c r="R92" i="8" s="1"/>
  <c r="P93" i="8"/>
  <c r="Q93" i="8" s="1"/>
  <c r="R93" i="8" s="1"/>
  <c r="D71" i="8"/>
  <c r="G71" i="8" s="1"/>
  <c r="H71" i="8" s="1"/>
  <c r="P71" i="8" s="1"/>
  <c r="Q71" i="8" s="1"/>
  <c r="R71" i="8" s="1"/>
  <c r="D70" i="8"/>
  <c r="F70" i="8" s="1"/>
  <c r="D69" i="8"/>
  <c r="G69" i="8" s="1"/>
  <c r="H69" i="8" s="1"/>
  <c r="I69" i="8" s="1"/>
  <c r="J69" i="8" s="1"/>
  <c r="K69" i="8" s="1"/>
  <c r="L69" i="8" s="1"/>
  <c r="M69" i="8" s="1"/>
  <c r="N69" i="8" s="1"/>
  <c r="O69" i="8" s="1"/>
  <c r="P69" i="8" s="1"/>
  <c r="Q69" i="8" s="1"/>
  <c r="R69" i="8" s="1"/>
  <c r="S69" i="8" s="1"/>
  <c r="T69" i="8" s="1"/>
  <c r="U69" i="8" s="1"/>
  <c r="V69" i="8" s="1"/>
  <c r="W69" i="8" s="1"/>
  <c r="X69" i="8" s="1"/>
  <c r="E69" i="8"/>
  <c r="D68" i="8"/>
  <c r="E68" i="8" s="1"/>
  <c r="D67" i="8"/>
  <c r="E67" i="8" s="1"/>
  <c r="D66" i="8"/>
  <c r="E66" i="8" s="1"/>
  <c r="D65" i="8"/>
  <c r="F65" i="8" s="1"/>
  <c r="G65" i="8"/>
  <c r="H65" i="8" s="1"/>
  <c r="I65" i="8" s="1"/>
  <c r="J65" i="8" s="1"/>
  <c r="K65" i="8" s="1"/>
  <c r="L65" i="8" s="1"/>
  <c r="M65" i="8" s="1"/>
  <c r="N65" i="8" s="1"/>
  <c r="O65" i="8" s="1"/>
  <c r="P65" i="8" s="1"/>
  <c r="Q65" i="8" s="1"/>
  <c r="R65" i="8" s="1"/>
  <c r="S65" i="8" s="1"/>
  <c r="T65" i="8" s="1"/>
  <c r="U65" i="8" s="1"/>
  <c r="V65" i="8" s="1"/>
  <c r="W65" i="8" s="1"/>
  <c r="X65" i="8" s="1"/>
  <c r="D64" i="8"/>
  <c r="G64" i="8" s="1"/>
  <c r="H64" i="8" s="1"/>
  <c r="I64" i="8" s="1"/>
  <c r="J64" i="8" s="1"/>
  <c r="K64" i="8" s="1"/>
  <c r="L64" i="8" s="1"/>
  <c r="M64" i="8" s="1"/>
  <c r="N64" i="8" s="1"/>
  <c r="O64" i="8" s="1"/>
  <c r="P64" i="8" s="1"/>
  <c r="Q64" i="8" s="1"/>
  <c r="R64" i="8" s="1"/>
  <c r="S64" i="8" s="1"/>
  <c r="T64" i="8" s="1"/>
  <c r="U64" i="8" s="1"/>
  <c r="V64" i="8" s="1"/>
  <c r="W64" i="8" s="1"/>
  <c r="X64" i="8" s="1"/>
  <c r="E64" i="8"/>
  <c r="D63" i="8"/>
  <c r="G63" i="8" s="1"/>
  <c r="H63" i="8" s="1"/>
  <c r="I63" i="8" s="1"/>
  <c r="J63" i="8" s="1"/>
  <c r="K63" i="8" s="1"/>
  <c r="L63" i="8" s="1"/>
  <c r="M63" i="8" s="1"/>
  <c r="N63" i="8" s="1"/>
  <c r="O63" i="8" s="1"/>
  <c r="P63" i="8" s="1"/>
  <c r="Q63" i="8" s="1"/>
  <c r="R63" i="8" s="1"/>
  <c r="S63" i="8" s="1"/>
  <c r="T63" i="8" s="1"/>
  <c r="U63" i="8" s="1"/>
  <c r="V63" i="8" s="1"/>
  <c r="W63" i="8" s="1"/>
  <c r="X63" i="8" s="1"/>
  <c r="D62" i="8"/>
  <c r="G62" i="8" s="1"/>
  <c r="H62" i="8" s="1"/>
  <c r="I62" i="8" s="1"/>
  <c r="J62" i="8" s="1"/>
  <c r="K62" i="8" s="1"/>
  <c r="L62" i="8" s="1"/>
  <c r="M62" i="8" s="1"/>
  <c r="N62" i="8" s="1"/>
  <c r="O62" i="8" s="1"/>
  <c r="P62" i="8" s="1"/>
  <c r="Q62" i="8" s="1"/>
  <c r="R62" i="8" s="1"/>
  <c r="S62" i="8" s="1"/>
  <c r="T62" i="8" s="1"/>
  <c r="U62" i="8" s="1"/>
  <c r="V62" i="8" s="1"/>
  <c r="W62" i="8" s="1"/>
  <c r="X62" i="8" s="1"/>
  <c r="E62" i="8"/>
  <c r="F62" i="8"/>
  <c r="D61" i="8"/>
  <c r="F61" i="8" s="1"/>
  <c r="D60" i="8"/>
  <c r="F60" i="8" s="1"/>
  <c r="E60" i="8"/>
  <c r="G60" i="8"/>
  <c r="H60" i="8"/>
  <c r="I60" i="8" s="1"/>
  <c r="J60" i="8" s="1"/>
  <c r="K60" i="8" s="1"/>
  <c r="L60" i="8" s="1"/>
  <c r="M60" i="8" s="1"/>
  <c r="N60" i="8" s="1"/>
  <c r="O60" i="8" s="1"/>
  <c r="P60" i="8" s="1"/>
  <c r="Q60" i="8" s="1"/>
  <c r="R60" i="8" s="1"/>
  <c r="S60" i="8" s="1"/>
  <c r="T60" i="8" s="1"/>
  <c r="U60" i="8" s="1"/>
  <c r="V60" i="8" s="1"/>
  <c r="W60" i="8" s="1"/>
  <c r="X60" i="8" s="1"/>
  <c r="D59" i="8"/>
  <c r="G59" i="8" s="1"/>
  <c r="H59" i="8" s="1"/>
  <c r="I59" i="8" s="1"/>
  <c r="J59" i="8" s="1"/>
  <c r="K59" i="8" s="1"/>
  <c r="L59" i="8" s="1"/>
  <c r="M59" i="8" s="1"/>
  <c r="N59" i="8" s="1"/>
  <c r="O59" i="8" s="1"/>
  <c r="P59" i="8" s="1"/>
  <c r="Q59" i="8" s="1"/>
  <c r="R59" i="8" s="1"/>
  <c r="S59" i="8" s="1"/>
  <c r="T59" i="8" s="1"/>
  <c r="U59" i="8" s="1"/>
  <c r="V59" i="8" s="1"/>
  <c r="W59" i="8" s="1"/>
  <c r="X59" i="8" s="1"/>
  <c r="F59" i="8"/>
  <c r="D58" i="8"/>
  <c r="G58" i="8" s="1"/>
  <c r="H58" i="8" s="1"/>
  <c r="I58" i="8" s="1"/>
  <c r="J58" i="8" s="1"/>
  <c r="K58" i="8" s="1"/>
  <c r="L58" i="8" s="1"/>
  <c r="M58" i="8" s="1"/>
  <c r="N58" i="8" s="1"/>
  <c r="O58" i="8" s="1"/>
  <c r="P58" i="8" s="1"/>
  <c r="Q58" i="8" s="1"/>
  <c r="R58" i="8" s="1"/>
  <c r="S58" i="8" s="1"/>
  <c r="T58" i="8" s="1"/>
  <c r="U58" i="8" s="1"/>
  <c r="V58" i="8" s="1"/>
  <c r="W58" i="8" s="1"/>
  <c r="X58" i="8" s="1"/>
  <c r="F58" i="8"/>
  <c r="D57" i="8"/>
  <c r="G57" i="8" s="1"/>
  <c r="H57" i="8" s="1"/>
  <c r="I57" i="8" s="1"/>
  <c r="J57" i="8" s="1"/>
  <c r="K57" i="8" s="1"/>
  <c r="L57" i="8" s="1"/>
  <c r="M57" i="8" s="1"/>
  <c r="N57" i="8" s="1"/>
  <c r="O57" i="8" s="1"/>
  <c r="P57" i="8" s="1"/>
  <c r="Q57" i="8" s="1"/>
  <c r="R57" i="8" s="1"/>
  <c r="S57" i="8" s="1"/>
  <c r="T57" i="8" s="1"/>
  <c r="U57" i="8" s="1"/>
  <c r="V57" i="8" s="1"/>
  <c r="W57" i="8" s="1"/>
  <c r="X57" i="8" s="1"/>
  <c r="E57" i="8"/>
  <c r="D56" i="8"/>
  <c r="E56" i="8" s="1"/>
  <c r="D55" i="8"/>
  <c r="F55" i="8" s="1"/>
  <c r="E55" i="8"/>
  <c r="D54" i="8"/>
  <c r="E54" i="8" s="1"/>
  <c r="G54" i="8"/>
  <c r="H54" i="8" s="1"/>
  <c r="I54" i="8" s="1"/>
  <c r="J54" i="8" s="1"/>
  <c r="K54" i="8" s="1"/>
  <c r="L54" i="8" s="1"/>
  <c r="M54" i="8" s="1"/>
  <c r="N54" i="8" s="1"/>
  <c r="O54" i="8" s="1"/>
  <c r="P54" i="8" s="1"/>
  <c r="Q54" i="8" s="1"/>
  <c r="R54" i="8" s="1"/>
  <c r="S54" i="8" s="1"/>
  <c r="T54" i="8" s="1"/>
  <c r="U54" i="8" s="1"/>
  <c r="V54" i="8" s="1"/>
  <c r="W54" i="8" s="1"/>
  <c r="X54" i="8" s="1"/>
  <c r="D53" i="8"/>
  <c r="G53" i="8" s="1"/>
  <c r="H53" i="8" s="1"/>
  <c r="I53" i="8" s="1"/>
  <c r="J53" i="8" s="1"/>
  <c r="K53" i="8" s="1"/>
  <c r="L53" i="8" s="1"/>
  <c r="M53" i="8" s="1"/>
  <c r="N53" i="8" s="1"/>
  <c r="O53" i="8" s="1"/>
  <c r="P53" i="8" s="1"/>
  <c r="Q53" i="8" s="1"/>
  <c r="R53" i="8" s="1"/>
  <c r="S53" i="8" s="1"/>
  <c r="T53" i="8" s="1"/>
  <c r="U53" i="8" s="1"/>
  <c r="V53" i="8" s="1"/>
  <c r="W53" i="8" s="1"/>
  <c r="X53" i="8" s="1"/>
  <c r="D52" i="8"/>
  <c r="E52" i="8" s="1"/>
  <c r="D51" i="8"/>
  <c r="G51" i="8" s="1"/>
  <c r="H51" i="8" s="1"/>
  <c r="I51" i="8" s="1"/>
  <c r="J51" i="8" s="1"/>
  <c r="K51" i="8" s="1"/>
  <c r="L51" i="8" s="1"/>
  <c r="M51" i="8" s="1"/>
  <c r="N51" i="8" s="1"/>
  <c r="O51" i="8" s="1"/>
  <c r="P51" i="8" s="1"/>
  <c r="Q51" i="8" s="1"/>
  <c r="R51" i="8" s="1"/>
  <c r="S51" i="8" s="1"/>
  <c r="T51" i="8" s="1"/>
  <c r="U51" i="8" s="1"/>
  <c r="V51" i="8" s="1"/>
  <c r="W51" i="8" s="1"/>
  <c r="X51" i="8" s="1"/>
  <c r="E51" i="8"/>
  <c r="D50" i="8"/>
  <c r="F50" i="8" s="1"/>
  <c r="D49" i="8"/>
  <c r="E49" i="8" s="1"/>
  <c r="D48" i="8"/>
  <c r="G48" i="8" s="1"/>
  <c r="H48" i="8" s="1"/>
  <c r="I48" i="8" s="1"/>
  <c r="J48" i="8" s="1"/>
  <c r="K48" i="8" s="1"/>
  <c r="L48" i="8" s="1"/>
  <c r="M48" i="8" s="1"/>
  <c r="N48" i="8" s="1"/>
  <c r="O48" i="8" s="1"/>
  <c r="P48" i="8" s="1"/>
  <c r="Q48" i="8" s="1"/>
  <c r="R48" i="8" s="1"/>
  <c r="S48" i="8" s="1"/>
  <c r="T48" i="8" s="1"/>
  <c r="U48" i="8" s="1"/>
  <c r="V48" i="8" s="1"/>
  <c r="W48" i="8" s="1"/>
  <c r="X48" i="8" s="1"/>
  <c r="G43" i="8"/>
  <c r="H43" i="8" s="1"/>
  <c r="I43" i="8" s="1"/>
  <c r="J43" i="8" s="1"/>
  <c r="K43" i="8" s="1"/>
  <c r="L43" i="8" s="1"/>
  <c r="M43" i="8" s="1"/>
  <c r="N43" i="8" s="1"/>
  <c r="O43" i="8" s="1"/>
  <c r="P43" i="8" s="1"/>
  <c r="Q43" i="8" s="1"/>
  <c r="R43" i="8" s="1"/>
  <c r="S43" i="8" s="1"/>
  <c r="T43" i="8" s="1"/>
  <c r="U43" i="8" s="1"/>
  <c r="V43" i="8" s="1"/>
  <c r="W43" i="8" s="1"/>
  <c r="X43" i="8" s="1"/>
  <c r="F25" i="8"/>
  <c r="F43" i="8"/>
  <c r="F46" i="8"/>
  <c r="D25" i="8"/>
  <c r="E25" i="8" s="1"/>
  <c r="D26" i="8"/>
  <c r="G26" i="8" s="1"/>
  <c r="H26" i="8" s="1"/>
  <c r="I26" i="8" s="1"/>
  <c r="J26" i="8" s="1"/>
  <c r="K26" i="8" s="1"/>
  <c r="L26" i="8" s="1"/>
  <c r="M26" i="8" s="1"/>
  <c r="N26" i="8" s="1"/>
  <c r="O26" i="8" s="1"/>
  <c r="P26" i="8" s="1"/>
  <c r="Q26" i="8" s="1"/>
  <c r="R26" i="8" s="1"/>
  <c r="S26" i="8" s="1"/>
  <c r="T26" i="8" s="1"/>
  <c r="U26" i="8" s="1"/>
  <c r="V26" i="8" s="1"/>
  <c r="W26" i="8" s="1"/>
  <c r="X26" i="8" s="1"/>
  <c r="D27" i="8"/>
  <c r="E27" i="8" s="1"/>
  <c r="D28" i="8"/>
  <c r="F28" i="8" s="1"/>
  <c r="D29" i="8"/>
  <c r="F29" i="8" s="1"/>
  <c r="D30" i="8"/>
  <c r="E30" i="8" s="1"/>
  <c r="D31" i="8"/>
  <c r="E31" i="8" s="1"/>
  <c r="D32" i="8"/>
  <c r="F32" i="8" s="1"/>
  <c r="D33" i="8"/>
  <c r="G33" i="8" s="1"/>
  <c r="H33" i="8" s="1"/>
  <c r="I33" i="8" s="1"/>
  <c r="J33" i="8" s="1"/>
  <c r="K33" i="8" s="1"/>
  <c r="L33" i="8" s="1"/>
  <c r="M33" i="8" s="1"/>
  <c r="N33" i="8" s="1"/>
  <c r="O33" i="8" s="1"/>
  <c r="P33" i="8" s="1"/>
  <c r="Q33" i="8" s="1"/>
  <c r="R33" i="8" s="1"/>
  <c r="S33" i="8" s="1"/>
  <c r="T33" i="8" s="1"/>
  <c r="U33" i="8" s="1"/>
  <c r="V33" i="8" s="1"/>
  <c r="W33" i="8" s="1"/>
  <c r="X33" i="8" s="1"/>
  <c r="D34" i="8"/>
  <c r="G34" i="8" s="1"/>
  <c r="H34" i="8" s="1"/>
  <c r="I34" i="8" s="1"/>
  <c r="J34" i="8" s="1"/>
  <c r="K34" i="8" s="1"/>
  <c r="L34" i="8" s="1"/>
  <c r="M34" i="8" s="1"/>
  <c r="N34" i="8" s="1"/>
  <c r="O34" i="8" s="1"/>
  <c r="P34" i="8" s="1"/>
  <c r="Q34" i="8" s="1"/>
  <c r="R34" i="8" s="1"/>
  <c r="S34" i="8" s="1"/>
  <c r="T34" i="8" s="1"/>
  <c r="U34" i="8" s="1"/>
  <c r="V34" i="8" s="1"/>
  <c r="W34" i="8" s="1"/>
  <c r="X34" i="8" s="1"/>
  <c r="D35" i="8"/>
  <c r="F35" i="8" s="1"/>
  <c r="D36" i="8"/>
  <c r="E36" i="8" s="1"/>
  <c r="D37" i="8"/>
  <c r="F37" i="8" s="1"/>
  <c r="D38" i="8"/>
  <c r="F38" i="8" s="1"/>
  <c r="D39" i="8"/>
  <c r="E39" i="8" s="1"/>
  <c r="D40" i="8"/>
  <c r="G40" i="8" s="1"/>
  <c r="H40" i="8" s="1"/>
  <c r="I40" i="8" s="1"/>
  <c r="J40" i="8" s="1"/>
  <c r="K40" i="8" s="1"/>
  <c r="L40" i="8" s="1"/>
  <c r="M40" i="8" s="1"/>
  <c r="N40" i="8" s="1"/>
  <c r="O40" i="8" s="1"/>
  <c r="P40" i="8" s="1"/>
  <c r="Q40" i="8" s="1"/>
  <c r="R40" i="8" s="1"/>
  <c r="S40" i="8" s="1"/>
  <c r="T40" i="8" s="1"/>
  <c r="U40" i="8" s="1"/>
  <c r="V40" i="8" s="1"/>
  <c r="W40" i="8" s="1"/>
  <c r="X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G47" i="8" s="1"/>
  <c r="H47" i="8" s="1"/>
  <c r="I47" i="8" s="1"/>
  <c r="J47" i="8" s="1"/>
  <c r="K47" i="8" s="1"/>
  <c r="L47" i="8" s="1"/>
  <c r="M47" i="8" s="1"/>
  <c r="N47" i="8" s="1"/>
  <c r="O47" i="8" s="1"/>
  <c r="P47" i="8" s="1"/>
  <c r="Q47" i="8" s="1"/>
  <c r="R47" i="8" s="1"/>
  <c r="S47" i="8" s="1"/>
  <c r="T47" i="8" s="1"/>
  <c r="U47" i="8" s="1"/>
  <c r="V47" i="8" s="1"/>
  <c r="W47" i="8" s="1"/>
  <c r="X47" i="8" s="1"/>
  <c r="F24" i="8"/>
  <c r="D24" i="8"/>
  <c r="E24" i="8" s="1"/>
  <c r="D19" i="8"/>
  <c r="G19" i="8" s="1"/>
  <c r="H19" i="8" s="1"/>
  <c r="I19" i="8" s="1"/>
  <c r="J19" i="8" s="1"/>
  <c r="K19" i="8" s="1"/>
  <c r="L19" i="8" s="1"/>
  <c r="M19" i="8" s="1"/>
  <c r="N19" i="8" s="1"/>
  <c r="O19" i="8" s="1"/>
  <c r="P19" i="8" s="1"/>
  <c r="Q19" i="8" s="1"/>
  <c r="R19" i="8" s="1"/>
  <c r="S19" i="8" s="1"/>
  <c r="T19" i="8" s="1"/>
  <c r="U19" i="8" s="1"/>
  <c r="V19" i="8" s="1"/>
  <c r="W19" i="8" s="1"/>
  <c r="X19" i="8" s="1"/>
  <c r="D20" i="8"/>
  <c r="F20" i="8" s="1"/>
  <c r="D18" i="8"/>
  <c r="G18" i="8" s="1"/>
  <c r="H18" i="8" s="1"/>
  <c r="I18" i="8" s="1"/>
  <c r="J18" i="8" s="1"/>
  <c r="K18" i="8" s="1"/>
  <c r="L18" i="8" s="1"/>
  <c r="M18" i="8" s="1"/>
  <c r="N18" i="8" s="1"/>
  <c r="O18" i="8" s="1"/>
  <c r="P18" i="8" s="1"/>
  <c r="Q18" i="8" s="1"/>
  <c r="R18" i="8" s="1"/>
  <c r="S18" i="8" s="1"/>
  <c r="T18" i="8" s="1"/>
  <c r="U18" i="8" s="1"/>
  <c r="V18" i="8" s="1"/>
  <c r="W18" i="8" s="1"/>
  <c r="X18" i="8" s="1"/>
  <c r="J17" i="8"/>
  <c r="K17" i="8" s="1"/>
  <c r="L17" i="8" s="1"/>
  <c r="M17" i="8" s="1"/>
  <c r="N17" i="8" s="1"/>
  <c r="O17" i="8" s="1"/>
  <c r="P17" i="8" s="1"/>
  <c r="Q17" i="8" s="1"/>
  <c r="R17" i="8" s="1"/>
  <c r="S17" i="8" s="1"/>
  <c r="T17" i="8" s="1"/>
  <c r="U17" i="8" s="1"/>
  <c r="V17" i="8" s="1"/>
  <c r="W17" i="8" s="1"/>
  <c r="X17" i="8" s="1"/>
  <c r="Q14" i="8"/>
  <c r="R14" i="8" s="1"/>
  <c r="S14" i="8" s="1"/>
  <c r="T14" i="8" s="1"/>
  <c r="U14" i="8" s="1"/>
  <c r="V14" i="8" s="1"/>
  <c r="W14" i="8" s="1"/>
  <c r="X14" i="8" s="1"/>
  <c r="D15" i="8"/>
  <c r="E15" i="8" s="1"/>
  <c r="E4" i="7"/>
  <c r="E6" i="7"/>
  <c r="E5" i="7"/>
  <c r="E3" i="7"/>
  <c r="E7" i="7"/>
  <c r="L52" i="7"/>
  <c r="M52" i="7" s="1"/>
  <c r="L51" i="7"/>
  <c r="M51" i="7" s="1"/>
  <c r="L50" i="7"/>
  <c r="M50" i="7" s="1"/>
  <c r="L49" i="7"/>
  <c r="M49" i="7" s="1"/>
  <c r="L48" i="7"/>
  <c r="M48" i="7" s="1"/>
  <c r="L47" i="7"/>
  <c r="M47" i="7" s="1"/>
  <c r="L46" i="7"/>
  <c r="M46" i="7" s="1"/>
  <c r="L45" i="7"/>
  <c r="M45" i="7" s="1"/>
  <c r="L44" i="7"/>
  <c r="M44" i="7" s="1"/>
  <c r="L43" i="7"/>
  <c r="M43" i="7" s="1"/>
  <c r="L42" i="7"/>
  <c r="M42" i="7" s="1"/>
  <c r="L41" i="7"/>
  <c r="M41" i="7" s="1"/>
  <c r="L40" i="7"/>
  <c r="M40" i="7" s="1"/>
  <c r="L39" i="7"/>
  <c r="M39" i="7" s="1"/>
  <c r="L38" i="7"/>
  <c r="M38" i="7" s="1"/>
  <c r="L37" i="7"/>
  <c r="M37" i="7" s="1"/>
  <c r="L36" i="7"/>
  <c r="M36" i="7" s="1"/>
  <c r="L35" i="7"/>
  <c r="M35" i="7" s="1"/>
  <c r="L34" i="7"/>
  <c r="M34" i="7" s="1"/>
  <c r="L33" i="7"/>
  <c r="M33" i="7" s="1"/>
  <c r="L32" i="7"/>
  <c r="M32" i="7" s="1"/>
  <c r="L31" i="7"/>
  <c r="M31" i="7" s="1"/>
  <c r="H8" i="5"/>
  <c r="H7" i="5"/>
  <c r="H6" i="5"/>
  <c r="H5" i="5"/>
  <c r="H4" i="5"/>
  <c r="H3" i="5"/>
  <c r="K4" i="5" s="1"/>
  <c r="I4" i="5" s="1"/>
  <c r="F11" i="3"/>
  <c r="D7" i="3"/>
  <c r="E7" i="3" s="1"/>
  <c r="D6" i="3"/>
  <c r="E6" i="3" s="1"/>
  <c r="D5" i="3"/>
  <c r="E5" i="3" s="1"/>
  <c r="D4" i="3"/>
  <c r="E4" i="3" s="1"/>
  <c r="D3" i="3"/>
  <c r="E3" i="3" s="1"/>
  <c r="AA2" i="3"/>
  <c r="D2" i="3"/>
  <c r="E2" i="3" s="1"/>
  <c r="F14" i="2"/>
  <c r="G14" i="2" s="1"/>
  <c r="F15" i="2"/>
  <c r="G15" i="2" s="1"/>
  <c r="F18" i="2"/>
  <c r="G18" i="2" s="1"/>
  <c r="F6" i="2"/>
  <c r="G6" i="2" s="1"/>
  <c r="F12" i="2"/>
  <c r="G12" i="2" s="1"/>
  <c r="F19" i="2"/>
  <c r="G19" i="2" s="1"/>
  <c r="F4" i="2"/>
  <c r="G4" i="2" s="1"/>
  <c r="F1" i="2"/>
  <c r="G1" i="2" s="1"/>
  <c r="F9" i="2"/>
  <c r="G9" i="2" s="1"/>
  <c r="F5" i="2"/>
  <c r="G5" i="2" s="1"/>
  <c r="F22" i="2"/>
  <c r="G22" i="2" s="1"/>
  <c r="F13" i="2"/>
  <c r="G13" i="2" s="1"/>
  <c r="F21" i="2"/>
  <c r="G21" i="2" s="1"/>
  <c r="F3" i="2"/>
  <c r="G3" i="2" s="1"/>
  <c r="F10" i="2"/>
  <c r="G10" i="2" s="1"/>
  <c r="F16" i="2"/>
  <c r="G16" i="2" s="1"/>
  <c r="F8" i="2"/>
  <c r="G8" i="2" s="1"/>
  <c r="F11" i="2"/>
  <c r="G11" i="2" s="1"/>
  <c r="F23" i="2"/>
  <c r="G23" i="2" s="1"/>
  <c r="F7" i="2"/>
  <c r="G7" i="2" s="1"/>
  <c r="F17" i="2"/>
  <c r="G17" i="2" s="1"/>
  <c r="F2" i="2"/>
  <c r="G2" i="2" s="1"/>
  <c r="F20" i="2"/>
  <c r="G20" i="2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2" i="1"/>
  <c r="L7" i="3" l="1"/>
  <c r="L6" i="3"/>
  <c r="L2" i="3"/>
  <c r="L5" i="3"/>
  <c r="L4" i="3"/>
  <c r="O4" i="3"/>
  <c r="O3" i="3"/>
  <c r="O2" i="3"/>
  <c r="O5" i="3"/>
  <c r="O7" i="3"/>
  <c r="O6" i="3"/>
  <c r="R5" i="20"/>
  <c r="H2" i="20"/>
  <c r="L5" i="20"/>
  <c r="R8" i="3"/>
  <c r="R9" i="3" s="1"/>
  <c r="G21" i="18"/>
  <c r="F20" i="18"/>
  <c r="F45" i="8"/>
  <c r="G45" i="8"/>
  <c r="H45" i="8" s="1"/>
  <c r="I45" i="8" s="1"/>
  <c r="J45" i="8" s="1"/>
  <c r="K45" i="8" s="1"/>
  <c r="L45" i="8" s="1"/>
  <c r="M45" i="8" s="1"/>
  <c r="N45" i="8" s="1"/>
  <c r="O45" i="8" s="1"/>
  <c r="P45" i="8" s="1"/>
  <c r="Q45" i="8" s="1"/>
  <c r="R45" i="8" s="1"/>
  <c r="S45" i="8" s="1"/>
  <c r="T45" i="8" s="1"/>
  <c r="U45" i="8" s="1"/>
  <c r="V45" i="8" s="1"/>
  <c r="W45" i="8" s="1"/>
  <c r="X45" i="8" s="1"/>
  <c r="F48" i="8"/>
  <c r="E59" i="8"/>
  <c r="F44" i="8"/>
  <c r="G44" i="8"/>
  <c r="H44" i="8" s="1"/>
  <c r="I44" i="8" s="1"/>
  <c r="J44" i="8" s="1"/>
  <c r="K44" i="8" s="1"/>
  <c r="L44" i="8" s="1"/>
  <c r="M44" i="8" s="1"/>
  <c r="N44" i="8" s="1"/>
  <c r="O44" i="8" s="1"/>
  <c r="P44" i="8" s="1"/>
  <c r="Q44" i="8" s="1"/>
  <c r="R44" i="8" s="1"/>
  <c r="S44" i="8" s="1"/>
  <c r="T44" i="8" s="1"/>
  <c r="U44" i="8" s="1"/>
  <c r="V44" i="8" s="1"/>
  <c r="W44" i="8" s="1"/>
  <c r="X44" i="8" s="1"/>
  <c r="E48" i="8"/>
  <c r="F53" i="8"/>
  <c r="E65" i="8"/>
  <c r="E70" i="8"/>
  <c r="F41" i="8"/>
  <c r="G42" i="8"/>
  <c r="H42" i="8" s="1"/>
  <c r="I42" i="8" s="1"/>
  <c r="J42" i="8" s="1"/>
  <c r="K42" i="8" s="1"/>
  <c r="L42" i="8" s="1"/>
  <c r="M42" i="8" s="1"/>
  <c r="N42" i="8" s="1"/>
  <c r="O42" i="8" s="1"/>
  <c r="P42" i="8" s="1"/>
  <c r="Q42" i="8" s="1"/>
  <c r="R42" i="8" s="1"/>
  <c r="S42" i="8" s="1"/>
  <c r="T42" i="8" s="1"/>
  <c r="U42" i="8" s="1"/>
  <c r="V42" i="8" s="1"/>
  <c r="W42" i="8" s="1"/>
  <c r="X42" i="8" s="1"/>
  <c r="E63" i="8"/>
  <c r="G68" i="8"/>
  <c r="H68" i="8" s="1"/>
  <c r="I68" i="8" s="1"/>
  <c r="J68" i="8" s="1"/>
  <c r="K68" i="8" s="1"/>
  <c r="L68" i="8" s="1"/>
  <c r="M68" i="8" s="1"/>
  <c r="N68" i="8" s="1"/>
  <c r="O68" i="8" s="1"/>
  <c r="P68" i="8" s="1"/>
  <c r="Q68" i="8" s="1"/>
  <c r="R68" i="8" s="1"/>
  <c r="S68" i="8" s="1"/>
  <c r="T68" i="8" s="1"/>
  <c r="U68" i="8" s="1"/>
  <c r="V68" i="8" s="1"/>
  <c r="W68" i="8" s="1"/>
  <c r="X68" i="8" s="1"/>
  <c r="F36" i="8"/>
  <c r="G41" i="8"/>
  <c r="H41" i="8" s="1"/>
  <c r="I41" i="8" s="1"/>
  <c r="J41" i="8" s="1"/>
  <c r="K41" i="8" s="1"/>
  <c r="L41" i="8" s="1"/>
  <c r="M41" i="8" s="1"/>
  <c r="N41" i="8" s="1"/>
  <c r="O41" i="8" s="1"/>
  <c r="P41" i="8" s="1"/>
  <c r="Q41" i="8" s="1"/>
  <c r="R41" i="8" s="1"/>
  <c r="S41" i="8" s="1"/>
  <c r="T41" i="8" s="1"/>
  <c r="U41" i="8" s="1"/>
  <c r="V41" i="8" s="1"/>
  <c r="W41" i="8" s="1"/>
  <c r="X41" i="8" s="1"/>
  <c r="F54" i="8"/>
  <c r="F68" i="8"/>
  <c r="G24" i="8"/>
  <c r="H24" i="8" s="1"/>
  <c r="I24" i="8" s="1"/>
  <c r="J24" i="8" s="1"/>
  <c r="K24" i="8" s="1"/>
  <c r="L24" i="8" s="1"/>
  <c r="M24" i="8" s="1"/>
  <c r="N24" i="8" s="1"/>
  <c r="O24" i="8" s="1"/>
  <c r="P24" i="8" s="1"/>
  <c r="Q24" i="8" s="1"/>
  <c r="R24" i="8" s="1"/>
  <c r="S24" i="8" s="1"/>
  <c r="T24" i="8" s="1"/>
  <c r="U24" i="8" s="1"/>
  <c r="V24" i="8" s="1"/>
  <c r="W24" i="8" s="1"/>
  <c r="X24" i="8" s="1"/>
  <c r="F34" i="8"/>
  <c r="G30" i="8"/>
  <c r="H30" i="8" s="1"/>
  <c r="I30" i="8" s="1"/>
  <c r="J30" i="8" s="1"/>
  <c r="K30" i="8" s="1"/>
  <c r="L30" i="8" s="1"/>
  <c r="M30" i="8" s="1"/>
  <c r="N30" i="8" s="1"/>
  <c r="O30" i="8" s="1"/>
  <c r="P30" i="8" s="1"/>
  <c r="Q30" i="8" s="1"/>
  <c r="R30" i="8" s="1"/>
  <c r="S30" i="8" s="1"/>
  <c r="T30" i="8" s="1"/>
  <c r="U30" i="8" s="1"/>
  <c r="V30" i="8" s="1"/>
  <c r="W30" i="8" s="1"/>
  <c r="X30" i="8" s="1"/>
  <c r="F51" i="8"/>
  <c r="E58" i="8"/>
  <c r="F64" i="8"/>
  <c r="F27" i="8"/>
  <c r="G29" i="8"/>
  <c r="H29" i="8" s="1"/>
  <c r="I29" i="8" s="1"/>
  <c r="J29" i="8" s="1"/>
  <c r="K29" i="8" s="1"/>
  <c r="L29" i="8" s="1"/>
  <c r="M29" i="8" s="1"/>
  <c r="N29" i="8" s="1"/>
  <c r="O29" i="8" s="1"/>
  <c r="P29" i="8" s="1"/>
  <c r="Q29" i="8" s="1"/>
  <c r="R29" i="8" s="1"/>
  <c r="S29" i="8" s="1"/>
  <c r="T29" i="8" s="1"/>
  <c r="U29" i="8" s="1"/>
  <c r="V29" i="8" s="1"/>
  <c r="W29" i="8" s="1"/>
  <c r="X29" i="8" s="1"/>
  <c r="E61" i="8"/>
  <c r="G66" i="8"/>
  <c r="H66" i="8" s="1"/>
  <c r="I66" i="8" s="1"/>
  <c r="J66" i="8" s="1"/>
  <c r="K66" i="8" s="1"/>
  <c r="L66" i="8" s="1"/>
  <c r="M66" i="8" s="1"/>
  <c r="N66" i="8" s="1"/>
  <c r="O66" i="8" s="1"/>
  <c r="P66" i="8" s="1"/>
  <c r="Q66" i="8" s="1"/>
  <c r="R66" i="8" s="1"/>
  <c r="S66" i="8" s="1"/>
  <c r="T66" i="8" s="1"/>
  <c r="U66" i="8" s="1"/>
  <c r="V66" i="8" s="1"/>
  <c r="W66" i="8" s="1"/>
  <c r="X66" i="8" s="1"/>
  <c r="G27" i="8"/>
  <c r="H27" i="8" s="1"/>
  <c r="I27" i="8" s="1"/>
  <c r="J27" i="8" s="1"/>
  <c r="K27" i="8" s="1"/>
  <c r="L27" i="8" s="1"/>
  <c r="M27" i="8" s="1"/>
  <c r="N27" i="8" s="1"/>
  <c r="O27" i="8" s="1"/>
  <c r="P27" i="8" s="1"/>
  <c r="Q27" i="8" s="1"/>
  <c r="R27" i="8" s="1"/>
  <c r="S27" i="8" s="1"/>
  <c r="T27" i="8" s="1"/>
  <c r="U27" i="8" s="1"/>
  <c r="V27" i="8" s="1"/>
  <c r="W27" i="8" s="1"/>
  <c r="X27" i="8" s="1"/>
  <c r="F66" i="8"/>
  <c r="F69" i="8"/>
  <c r="F30" i="8"/>
  <c r="F18" i="8"/>
  <c r="F42" i="8"/>
  <c r="F26" i="8"/>
  <c r="G39" i="8"/>
  <c r="H39" i="8" s="1"/>
  <c r="I39" i="8" s="1"/>
  <c r="J39" i="8" s="1"/>
  <c r="K39" i="8" s="1"/>
  <c r="L39" i="8" s="1"/>
  <c r="M39" i="8" s="1"/>
  <c r="N39" i="8" s="1"/>
  <c r="O39" i="8" s="1"/>
  <c r="P39" i="8" s="1"/>
  <c r="Q39" i="8" s="1"/>
  <c r="R39" i="8" s="1"/>
  <c r="S39" i="8" s="1"/>
  <c r="T39" i="8" s="1"/>
  <c r="U39" i="8" s="1"/>
  <c r="V39" i="8" s="1"/>
  <c r="W39" i="8" s="1"/>
  <c r="X39" i="8" s="1"/>
  <c r="F63" i="8"/>
  <c r="G67" i="8"/>
  <c r="H67" i="8" s="1"/>
  <c r="I67" i="8" s="1"/>
  <c r="J67" i="8" s="1"/>
  <c r="K67" i="8" s="1"/>
  <c r="L67" i="8" s="1"/>
  <c r="M67" i="8" s="1"/>
  <c r="N67" i="8" s="1"/>
  <c r="O67" i="8" s="1"/>
  <c r="P67" i="8" s="1"/>
  <c r="Q67" i="8" s="1"/>
  <c r="R67" i="8" s="1"/>
  <c r="S67" i="8" s="1"/>
  <c r="T67" i="8" s="1"/>
  <c r="U67" i="8" s="1"/>
  <c r="V67" i="8" s="1"/>
  <c r="W67" i="8" s="1"/>
  <c r="X67" i="8" s="1"/>
  <c r="F71" i="8"/>
  <c r="F31" i="8"/>
  <c r="E19" i="8"/>
  <c r="G36" i="8"/>
  <c r="H36" i="8" s="1"/>
  <c r="I36" i="8" s="1"/>
  <c r="J36" i="8" s="1"/>
  <c r="K36" i="8" s="1"/>
  <c r="L36" i="8" s="1"/>
  <c r="M36" i="8" s="1"/>
  <c r="N36" i="8" s="1"/>
  <c r="O36" i="8" s="1"/>
  <c r="P36" i="8" s="1"/>
  <c r="Q36" i="8" s="1"/>
  <c r="R36" i="8" s="1"/>
  <c r="S36" i="8" s="1"/>
  <c r="T36" i="8" s="1"/>
  <c r="U36" i="8" s="1"/>
  <c r="V36" i="8" s="1"/>
  <c r="W36" i="8" s="1"/>
  <c r="X36" i="8" s="1"/>
  <c r="G20" i="8"/>
  <c r="H20" i="8" s="1"/>
  <c r="I20" i="8" s="1"/>
  <c r="J20" i="8" s="1"/>
  <c r="K20" i="8" s="1"/>
  <c r="L20" i="8" s="1"/>
  <c r="M20" i="8" s="1"/>
  <c r="N20" i="8" s="1"/>
  <c r="O20" i="8" s="1"/>
  <c r="P20" i="8" s="1"/>
  <c r="Q20" i="8" s="1"/>
  <c r="R20" i="8" s="1"/>
  <c r="S20" i="8" s="1"/>
  <c r="T20" i="8" s="1"/>
  <c r="U20" i="8" s="1"/>
  <c r="V20" i="8" s="1"/>
  <c r="W20" i="8" s="1"/>
  <c r="X20" i="8" s="1"/>
  <c r="F15" i="8"/>
  <c r="F39" i="8"/>
  <c r="G46" i="8"/>
  <c r="H46" i="8" s="1"/>
  <c r="I46" i="8" s="1"/>
  <c r="J46" i="8" s="1"/>
  <c r="K46" i="8" s="1"/>
  <c r="L46" i="8" s="1"/>
  <c r="M46" i="8" s="1"/>
  <c r="N46" i="8" s="1"/>
  <c r="O46" i="8" s="1"/>
  <c r="P46" i="8" s="1"/>
  <c r="Q46" i="8" s="1"/>
  <c r="R46" i="8" s="1"/>
  <c r="S46" i="8" s="1"/>
  <c r="T46" i="8" s="1"/>
  <c r="U46" i="8" s="1"/>
  <c r="V46" i="8" s="1"/>
  <c r="W46" i="8" s="1"/>
  <c r="X46" i="8" s="1"/>
  <c r="G31" i="8"/>
  <c r="H31" i="8" s="1"/>
  <c r="I31" i="8" s="1"/>
  <c r="J31" i="8" s="1"/>
  <c r="K31" i="8" s="1"/>
  <c r="L31" i="8" s="1"/>
  <c r="M31" i="8" s="1"/>
  <c r="N31" i="8" s="1"/>
  <c r="O31" i="8" s="1"/>
  <c r="P31" i="8" s="1"/>
  <c r="Q31" i="8" s="1"/>
  <c r="R31" i="8" s="1"/>
  <c r="S31" i="8" s="1"/>
  <c r="T31" i="8" s="1"/>
  <c r="U31" i="8" s="1"/>
  <c r="V31" i="8" s="1"/>
  <c r="W31" i="8" s="1"/>
  <c r="X31" i="8" s="1"/>
  <c r="F57" i="8"/>
  <c r="G70" i="8"/>
  <c r="H70" i="8" s="1"/>
  <c r="I70" i="8" s="1"/>
  <c r="J70" i="8" s="1"/>
  <c r="K70" i="8" s="1"/>
  <c r="L70" i="8" s="1"/>
  <c r="M70" i="8" s="1"/>
  <c r="N70" i="8" s="1"/>
  <c r="O70" i="8" s="1"/>
  <c r="P70" i="8" s="1"/>
  <c r="Q70" i="8" s="1"/>
  <c r="R70" i="8" s="1"/>
  <c r="S70" i="8" s="1"/>
  <c r="T70" i="8" s="1"/>
  <c r="U70" i="8" s="1"/>
  <c r="V70" i="8" s="1"/>
  <c r="W70" i="8" s="1"/>
  <c r="X70" i="8" s="1"/>
  <c r="F67" i="8"/>
  <c r="G61" i="8"/>
  <c r="H61" i="8" s="1"/>
  <c r="I61" i="8" s="1"/>
  <c r="J61" i="8" s="1"/>
  <c r="K61" i="8" s="1"/>
  <c r="L61" i="8" s="1"/>
  <c r="M61" i="8" s="1"/>
  <c r="N61" i="8" s="1"/>
  <c r="O61" i="8" s="1"/>
  <c r="P61" i="8" s="1"/>
  <c r="Q61" i="8" s="1"/>
  <c r="R61" i="8" s="1"/>
  <c r="S61" i="8" s="1"/>
  <c r="T61" i="8" s="1"/>
  <c r="U61" i="8" s="1"/>
  <c r="V61" i="8" s="1"/>
  <c r="W61" i="8" s="1"/>
  <c r="X61" i="8" s="1"/>
  <c r="G56" i="8"/>
  <c r="H56" i="8" s="1"/>
  <c r="I56" i="8" s="1"/>
  <c r="J56" i="8" s="1"/>
  <c r="K56" i="8" s="1"/>
  <c r="L56" i="8" s="1"/>
  <c r="M56" i="8" s="1"/>
  <c r="N56" i="8" s="1"/>
  <c r="O56" i="8" s="1"/>
  <c r="P56" i="8" s="1"/>
  <c r="Q56" i="8" s="1"/>
  <c r="R56" i="8" s="1"/>
  <c r="S56" i="8" s="1"/>
  <c r="T56" i="8" s="1"/>
  <c r="U56" i="8" s="1"/>
  <c r="V56" i="8" s="1"/>
  <c r="W56" i="8" s="1"/>
  <c r="X56" i="8" s="1"/>
  <c r="F56" i="8"/>
  <c r="G55" i="8"/>
  <c r="H55" i="8" s="1"/>
  <c r="I55" i="8" s="1"/>
  <c r="J55" i="8" s="1"/>
  <c r="K55" i="8" s="1"/>
  <c r="L55" i="8" s="1"/>
  <c r="M55" i="8" s="1"/>
  <c r="N55" i="8" s="1"/>
  <c r="O55" i="8" s="1"/>
  <c r="P55" i="8" s="1"/>
  <c r="Q55" i="8" s="1"/>
  <c r="R55" i="8" s="1"/>
  <c r="S55" i="8" s="1"/>
  <c r="T55" i="8" s="1"/>
  <c r="U55" i="8" s="1"/>
  <c r="V55" i="8" s="1"/>
  <c r="W55" i="8" s="1"/>
  <c r="X55" i="8" s="1"/>
  <c r="E53" i="8"/>
  <c r="G52" i="8"/>
  <c r="H52" i="8" s="1"/>
  <c r="I52" i="8" s="1"/>
  <c r="J52" i="8" s="1"/>
  <c r="K52" i="8" s="1"/>
  <c r="L52" i="8" s="1"/>
  <c r="M52" i="8" s="1"/>
  <c r="N52" i="8" s="1"/>
  <c r="O52" i="8" s="1"/>
  <c r="P52" i="8" s="1"/>
  <c r="Q52" i="8" s="1"/>
  <c r="R52" i="8" s="1"/>
  <c r="S52" i="8" s="1"/>
  <c r="T52" i="8" s="1"/>
  <c r="U52" i="8" s="1"/>
  <c r="V52" i="8" s="1"/>
  <c r="W52" i="8" s="1"/>
  <c r="X52" i="8" s="1"/>
  <c r="F52" i="8"/>
  <c r="E50" i="8"/>
  <c r="G50" i="8"/>
  <c r="H50" i="8" s="1"/>
  <c r="I50" i="8" s="1"/>
  <c r="J50" i="8" s="1"/>
  <c r="K50" i="8" s="1"/>
  <c r="L50" i="8" s="1"/>
  <c r="M50" i="8" s="1"/>
  <c r="N50" i="8" s="1"/>
  <c r="O50" i="8" s="1"/>
  <c r="P50" i="8" s="1"/>
  <c r="Q50" i="8" s="1"/>
  <c r="R50" i="8" s="1"/>
  <c r="S50" i="8" s="1"/>
  <c r="T50" i="8" s="1"/>
  <c r="U50" i="8" s="1"/>
  <c r="V50" i="8" s="1"/>
  <c r="W50" i="8" s="1"/>
  <c r="X50" i="8" s="1"/>
  <c r="G49" i="8"/>
  <c r="H49" i="8" s="1"/>
  <c r="I49" i="8" s="1"/>
  <c r="J49" i="8" s="1"/>
  <c r="K49" i="8" s="1"/>
  <c r="L49" i="8" s="1"/>
  <c r="M49" i="8" s="1"/>
  <c r="N49" i="8" s="1"/>
  <c r="O49" i="8" s="1"/>
  <c r="P49" i="8" s="1"/>
  <c r="Q49" i="8" s="1"/>
  <c r="R49" i="8" s="1"/>
  <c r="S49" i="8" s="1"/>
  <c r="T49" i="8" s="1"/>
  <c r="U49" i="8" s="1"/>
  <c r="V49" i="8" s="1"/>
  <c r="W49" i="8" s="1"/>
  <c r="X49" i="8" s="1"/>
  <c r="F49" i="8"/>
  <c r="F47" i="8"/>
  <c r="E47" i="8"/>
  <c r="E40" i="8"/>
  <c r="F40" i="8"/>
  <c r="G38" i="8"/>
  <c r="H38" i="8" s="1"/>
  <c r="I38" i="8" s="1"/>
  <c r="J38" i="8" s="1"/>
  <c r="K38" i="8" s="1"/>
  <c r="L38" i="8" s="1"/>
  <c r="M38" i="8" s="1"/>
  <c r="N38" i="8" s="1"/>
  <c r="O38" i="8" s="1"/>
  <c r="P38" i="8" s="1"/>
  <c r="Q38" i="8" s="1"/>
  <c r="R38" i="8" s="1"/>
  <c r="S38" i="8" s="1"/>
  <c r="T38" i="8" s="1"/>
  <c r="U38" i="8" s="1"/>
  <c r="V38" i="8" s="1"/>
  <c r="W38" i="8" s="1"/>
  <c r="X38" i="8" s="1"/>
  <c r="E38" i="8"/>
  <c r="G37" i="8"/>
  <c r="H37" i="8" s="1"/>
  <c r="I37" i="8" s="1"/>
  <c r="J37" i="8" s="1"/>
  <c r="K37" i="8" s="1"/>
  <c r="L37" i="8" s="1"/>
  <c r="M37" i="8" s="1"/>
  <c r="N37" i="8" s="1"/>
  <c r="O37" i="8" s="1"/>
  <c r="P37" i="8" s="1"/>
  <c r="Q37" i="8" s="1"/>
  <c r="R37" i="8" s="1"/>
  <c r="S37" i="8" s="1"/>
  <c r="T37" i="8" s="1"/>
  <c r="U37" i="8" s="1"/>
  <c r="V37" i="8" s="1"/>
  <c r="W37" i="8" s="1"/>
  <c r="X37" i="8" s="1"/>
  <c r="E37" i="8"/>
  <c r="E35" i="8"/>
  <c r="G35" i="8"/>
  <c r="H35" i="8" s="1"/>
  <c r="I35" i="8" s="1"/>
  <c r="J35" i="8" s="1"/>
  <c r="K35" i="8" s="1"/>
  <c r="L35" i="8" s="1"/>
  <c r="M35" i="8" s="1"/>
  <c r="N35" i="8" s="1"/>
  <c r="O35" i="8" s="1"/>
  <c r="P35" i="8" s="1"/>
  <c r="Q35" i="8" s="1"/>
  <c r="R35" i="8" s="1"/>
  <c r="S35" i="8" s="1"/>
  <c r="T35" i="8" s="1"/>
  <c r="U35" i="8" s="1"/>
  <c r="V35" i="8" s="1"/>
  <c r="W35" i="8" s="1"/>
  <c r="X35" i="8" s="1"/>
  <c r="E34" i="8"/>
  <c r="F33" i="8"/>
  <c r="E33" i="8"/>
  <c r="G32" i="8"/>
  <c r="H32" i="8" s="1"/>
  <c r="I32" i="8" s="1"/>
  <c r="J32" i="8" s="1"/>
  <c r="K32" i="8" s="1"/>
  <c r="L32" i="8" s="1"/>
  <c r="M32" i="8" s="1"/>
  <c r="N32" i="8" s="1"/>
  <c r="O32" i="8" s="1"/>
  <c r="P32" i="8" s="1"/>
  <c r="Q32" i="8" s="1"/>
  <c r="R32" i="8" s="1"/>
  <c r="S32" i="8" s="1"/>
  <c r="T32" i="8" s="1"/>
  <c r="U32" i="8" s="1"/>
  <c r="V32" i="8" s="1"/>
  <c r="W32" i="8" s="1"/>
  <c r="X32" i="8" s="1"/>
  <c r="E32" i="8"/>
  <c r="E29" i="8"/>
  <c r="E28" i="8"/>
  <c r="G28" i="8"/>
  <c r="H28" i="8" s="1"/>
  <c r="I28" i="8" s="1"/>
  <c r="J28" i="8" s="1"/>
  <c r="K28" i="8" s="1"/>
  <c r="L28" i="8" s="1"/>
  <c r="M28" i="8" s="1"/>
  <c r="N28" i="8" s="1"/>
  <c r="O28" i="8" s="1"/>
  <c r="P28" i="8" s="1"/>
  <c r="Q28" i="8" s="1"/>
  <c r="R28" i="8" s="1"/>
  <c r="S28" i="8" s="1"/>
  <c r="T28" i="8" s="1"/>
  <c r="U28" i="8" s="1"/>
  <c r="V28" i="8" s="1"/>
  <c r="W28" i="8" s="1"/>
  <c r="X28" i="8" s="1"/>
  <c r="E26" i="8"/>
  <c r="G25" i="8"/>
  <c r="H25" i="8" s="1"/>
  <c r="I25" i="8" s="1"/>
  <c r="J25" i="8" s="1"/>
  <c r="K25" i="8" s="1"/>
  <c r="L25" i="8" s="1"/>
  <c r="M25" i="8" s="1"/>
  <c r="N25" i="8" s="1"/>
  <c r="O25" i="8" s="1"/>
  <c r="P25" i="8" s="1"/>
  <c r="Q25" i="8" s="1"/>
  <c r="R25" i="8" s="1"/>
  <c r="S25" i="8" s="1"/>
  <c r="T25" i="8" s="1"/>
  <c r="U25" i="8" s="1"/>
  <c r="V25" i="8" s="1"/>
  <c r="W25" i="8" s="1"/>
  <c r="X25" i="8" s="1"/>
  <c r="E20" i="8"/>
  <c r="F19" i="8"/>
  <c r="E18" i="8"/>
  <c r="G15" i="8"/>
  <c r="H15" i="8"/>
  <c r="E5" i="24"/>
  <c r="I5" i="24" s="1"/>
  <c r="K5" i="24" s="1"/>
  <c r="D5" i="24" s="1"/>
  <c r="F11" i="24"/>
  <c r="G11" i="24"/>
  <c r="G4" i="24"/>
  <c r="F4" i="24" s="1"/>
  <c r="E8" i="24"/>
  <c r="G13" i="24"/>
  <c r="F13" i="24" s="1"/>
  <c r="E6" i="24"/>
  <c r="F9" i="24"/>
  <c r="G9" i="24"/>
  <c r="G12" i="24"/>
  <c r="F12" i="24" s="1"/>
  <c r="G6" i="24"/>
  <c r="F6" i="24" s="1"/>
  <c r="F8" i="24"/>
  <c r="G8" i="24"/>
  <c r="F10" i="24"/>
  <c r="G10" i="24"/>
  <c r="E13" i="24"/>
  <c r="G5" i="24"/>
  <c r="F5" i="24" s="1"/>
  <c r="E2" i="24"/>
  <c r="I2" i="24" s="1"/>
  <c r="K2" i="24" s="1"/>
  <c r="D2" i="24" s="1"/>
  <c r="F2" i="24" s="1"/>
  <c r="E12" i="24"/>
  <c r="E3" i="24"/>
  <c r="I3" i="24"/>
  <c r="K3" i="24"/>
  <c r="D3" i="24" s="1"/>
  <c r="F3" i="24" s="1"/>
  <c r="E4" i="24"/>
  <c r="E10" i="24"/>
  <c r="E9" i="24"/>
  <c r="E11" i="24"/>
  <c r="E7" i="24"/>
  <c r="G7" i="24"/>
  <c r="F7" i="24" s="1"/>
</calcChain>
</file>

<file path=xl/sharedStrings.xml><?xml version="1.0" encoding="utf-8"?>
<sst xmlns="http://schemas.openxmlformats.org/spreadsheetml/2006/main" count="3119" uniqueCount="1012">
  <si>
    <t>reportingYear</t>
  </si>
  <si>
    <t>countryCode</t>
  </si>
  <si>
    <t>pollutantCode</t>
  </si>
  <si>
    <t>pollutantName</t>
  </si>
  <si>
    <t>medium</t>
  </si>
  <si>
    <t>totalPollutantQuantityKg</t>
  </si>
  <si>
    <t>mainActivityCode</t>
  </si>
  <si>
    <t>mainActivityName</t>
  </si>
  <si>
    <t>Facility_INSPIRE_ID</t>
  </si>
  <si>
    <t>parentCompanyName</t>
  </si>
  <si>
    <t>nameOfFeature</t>
  </si>
  <si>
    <t>pointGeometryLon</t>
  </si>
  <si>
    <t>pointGeometryLat</t>
  </si>
  <si>
    <t>streetName</t>
  </si>
  <si>
    <t>buildingNumber</t>
  </si>
  <si>
    <t>postalCode</t>
  </si>
  <si>
    <t>city</t>
  </si>
  <si>
    <t>CO2</t>
  </si>
  <si>
    <t>Carbon dioxide</t>
  </si>
  <si>
    <t>AIR</t>
  </si>
  <si>
    <t>3(c)(i)</t>
  </si>
  <si>
    <t>Installations for the production of cement clinker in rotary kilns</t>
  </si>
  <si>
    <t>BE.WA/026010000.FACILITY</t>
  </si>
  <si>
    <t>S.A. Cimenteries CBR</t>
  </si>
  <si>
    <t>CBR sa - Site de Lixhe</t>
  </si>
  <si>
    <t>RUE DES TROIS FERMES</t>
  </si>
  <si>
    <t>/</t>
  </si>
  <si>
    <t>4600</t>
  </si>
  <si>
    <t>LIXHE</t>
  </si>
  <si>
    <t>BE.WA/027010000.FACILITY</t>
  </si>
  <si>
    <t>CCB Cementir Holding</t>
  </si>
  <si>
    <t>CCB sa - Site de Gaurain-Ramecroix</t>
  </si>
  <si>
    <t>GRAND'ROUTE</t>
  </si>
  <si>
    <t>260/</t>
  </si>
  <si>
    <t>7530</t>
  </si>
  <si>
    <t>GAURAIN-RAMECROIX</t>
  </si>
  <si>
    <t>BE.WA/028010000.FACILITY</t>
  </si>
  <si>
    <t>Holcim Belgique sa</t>
  </si>
  <si>
    <t>HOLCIM Belgique sa - Usine d'OBOURG</t>
  </si>
  <si>
    <t>RUE DES FABRIQUES</t>
  </si>
  <si>
    <t>2/</t>
  </si>
  <si>
    <t>7034</t>
  </si>
  <si>
    <t>OBOURG</t>
  </si>
  <si>
    <t>BE.WA/029010000.FACILITY</t>
  </si>
  <si>
    <t>CBR sa - Site d'Antoing</t>
  </si>
  <si>
    <t>RUE DU COUCOU</t>
  </si>
  <si>
    <t>8/</t>
  </si>
  <si>
    <t>7640</t>
  </si>
  <si>
    <t>ANTOING</t>
  </si>
  <si>
    <t>BG.CAED/003000005.FACILITY</t>
  </si>
  <si>
    <t>"Девня Цимент" АД</t>
  </si>
  <si>
    <t>Cement company Devnia cement</t>
  </si>
  <si>
    <t>Промишлена Зона</t>
  </si>
  <si>
    <t>няма</t>
  </si>
  <si>
    <t>9160</t>
  </si>
  <si>
    <t>Девня</t>
  </si>
  <si>
    <t>BG.CAED/005000005.FACILITY</t>
  </si>
  <si>
    <t>"ХОЛСИМ БЪЛГАРИЯ" АД</t>
  </si>
  <si>
    <t>Cement company Holcim BG</t>
  </si>
  <si>
    <t>с. Бели извор</t>
  </si>
  <si>
    <t>3040</t>
  </si>
  <si>
    <t>Бели извор</t>
  </si>
  <si>
    <t>BG.CAED/008000002.FACILITY</t>
  </si>
  <si>
    <t>"Златна Панега Цимент" АД</t>
  </si>
  <si>
    <t>Cement company Zlatna Panega Ciment</t>
  </si>
  <si>
    <t>ул."Шипка"</t>
  </si>
  <si>
    <t>2</t>
  </si>
  <si>
    <t>5760</t>
  </si>
  <si>
    <t>Златна Панега</t>
  </si>
  <si>
    <t>CH.CAED/000000174.Facility</t>
  </si>
  <si>
    <t>Holcim (Suisse) SA</t>
  </si>
  <si>
    <t>Zementwerk Eclépens</t>
  </si>
  <si>
    <t>1312</t>
  </si>
  <si>
    <t>Eclépens</t>
  </si>
  <si>
    <t>CH.CAED/000000175.Facility</t>
  </si>
  <si>
    <t>Holcim (Schweiz) AG</t>
  </si>
  <si>
    <t>Zementwerk Siggenthal</t>
  </si>
  <si>
    <t>5303</t>
  </si>
  <si>
    <t>Würenlingen</t>
  </si>
  <si>
    <t>CH.CAED/000000176.Facility</t>
  </si>
  <si>
    <t>Zementwerk Untervaz</t>
  </si>
  <si>
    <t>7204</t>
  </si>
  <si>
    <t>Untervaz</t>
  </si>
  <si>
    <t>CH.CAED/000000177.Facility</t>
  </si>
  <si>
    <t>Jura Cement Fabriken</t>
  </si>
  <si>
    <t>Talstrasse</t>
  </si>
  <si>
    <t>13</t>
  </si>
  <si>
    <t>5103</t>
  </si>
  <si>
    <t>Wildegg</t>
  </si>
  <si>
    <t>CH.CAED/000000178.Facility</t>
  </si>
  <si>
    <t>Juracime SA</t>
  </si>
  <si>
    <t>Zementwerk</t>
  </si>
  <si>
    <t>2087</t>
  </si>
  <si>
    <t>Cornaux</t>
  </si>
  <si>
    <t>CH.CAED/000000179.Facility</t>
  </si>
  <si>
    <t>Vigier Cement AG</t>
  </si>
  <si>
    <t>Zementwerk Reuchenette</t>
  </si>
  <si>
    <t>2603</t>
  </si>
  <si>
    <t>Péry</t>
  </si>
  <si>
    <t>CY.CAED/0060500000.FACILITY</t>
  </si>
  <si>
    <t>VASSILIKO CEMENT WORKS PUBLIC COMPANY LTD</t>
  </si>
  <si>
    <t>VASSILIKO CEMENT WORKS PUBLIC COMPANY LTD, Vassilikos Plant</t>
  </si>
  <si>
    <t>Vassilikos area</t>
  </si>
  <si>
    <t>7738</t>
  </si>
  <si>
    <t>LARNAKA</t>
  </si>
  <si>
    <t>CZ.MZP.A100/CZ43518031.FACILITY</t>
  </si>
  <si>
    <t>Českomoravský cement, a.s.</t>
  </si>
  <si>
    <t>závod Radotín</t>
  </si>
  <si>
    <t>K cementárně</t>
  </si>
  <si>
    <t>1261/25</t>
  </si>
  <si>
    <t>15300</t>
  </si>
  <si>
    <t>Praha</t>
  </si>
  <si>
    <t>CZ.MZP.B643/CZ23625775.FACILITY</t>
  </si>
  <si>
    <t>závod Mokrá</t>
  </si>
  <si>
    <t>N/A</t>
  </si>
  <si>
    <t>359</t>
  </si>
  <si>
    <t>66405</t>
  </si>
  <si>
    <t>Tvarožná</t>
  </si>
  <si>
    <t>CZ.MZP.E531/CZ27995052.FACILITY</t>
  </si>
  <si>
    <t>CEMEX Czech Republic, s.r.o.</t>
  </si>
  <si>
    <t>Tovární</t>
  </si>
  <si>
    <t>296</t>
  </si>
  <si>
    <t>53804</t>
  </si>
  <si>
    <t>Prachovice</t>
  </si>
  <si>
    <t>CZ.MZP.M714/CZ44196175.FACILITY</t>
  </si>
  <si>
    <t>Cement Hranice, akciová společnost</t>
  </si>
  <si>
    <t>Bělotínská</t>
  </si>
  <si>
    <t>288</t>
  </si>
  <si>
    <t>75301</t>
  </si>
  <si>
    <t>Hranice</t>
  </si>
  <si>
    <t>CZ.MZP.U423/CZ47356419.FACILITY</t>
  </si>
  <si>
    <t>Lafarge Cement, a.s.</t>
  </si>
  <si>
    <t>27</t>
  </si>
  <si>
    <t>41112</t>
  </si>
  <si>
    <t>Čížkovice</t>
  </si>
  <si>
    <t>DK.CAED/000105786.FACILITY</t>
  </si>
  <si>
    <t>Aalborg Portland A/S</t>
  </si>
  <si>
    <t>Rørdalsvej</t>
  </si>
  <si>
    <t>44</t>
  </si>
  <si>
    <t>9220</t>
  </si>
  <si>
    <t>Aalborg Øst</t>
  </si>
  <si>
    <t>EE.KAUR.TTR/67.FACILITY</t>
  </si>
  <si>
    <t>AS Kunda Nordic Tsement</t>
  </si>
  <si>
    <t>Kunda Nordic Tsement AS, Kunda tsemenditehas</t>
  </si>
  <si>
    <t>Jaama</t>
  </si>
  <si>
    <t>44106</t>
  </si>
  <si>
    <t>Kunda linn</t>
  </si>
  <si>
    <t>ES.CAED/000121000.FACILITY</t>
  </si>
  <si>
    <t>A.G. CEMENTO BALBOA, S.A.</t>
  </si>
  <si>
    <t>A.G. CEMENTOS BALBOA</t>
  </si>
  <si>
    <t>EX-101</t>
  </si>
  <si>
    <t>KM 14,5</t>
  </si>
  <si>
    <t>06393</t>
  </si>
  <si>
    <t>ALCONERA</t>
  </si>
  <si>
    <t>ES.CAED/000142000.FACILITY</t>
  </si>
  <si>
    <t>CEMENTOS COSMOS SUR, S.A.U.</t>
  </si>
  <si>
    <t>FÁBRICA DE CÓRDOBA (SOCIEDAD DE CEMENTOS Y MATERIALES DE CONSTRUCCIÓN DE ANDALUCÍA, S.A.)</t>
  </si>
  <si>
    <t>AGRUPACIÓN CÓRDOBA, 15</t>
  </si>
  <si>
    <t>15</t>
  </si>
  <si>
    <t>14014</t>
  </si>
  <si>
    <t>Córdoba</t>
  </si>
  <si>
    <t>ES.CAED/000143000.FACILITY</t>
  </si>
  <si>
    <t>LAFARGEHOLCIM ESPAÑA, S.A.U.</t>
  </si>
  <si>
    <t>FABRICA DE VILLALUENGA (LAFARGEHOLCIM ESPAÑA SAU)</t>
  </si>
  <si>
    <t>CERRO DEL ÁGUILA</t>
  </si>
  <si>
    <t>S/N</t>
  </si>
  <si>
    <t>45520</t>
  </si>
  <si>
    <t>VILLALUENGA DE LA SAGRA</t>
  </si>
  <si>
    <t>ES.CAED/000144000.FACILITY</t>
  </si>
  <si>
    <t>FÁBRICA DE MONTCADA (LAFARGEHOLCIM ESPAÑA SAU)</t>
  </si>
  <si>
    <t>CTRA. C-17</t>
  </si>
  <si>
    <t>KM. 2,947</t>
  </si>
  <si>
    <t>08110</t>
  </si>
  <si>
    <t>Montcada i Reixac</t>
  </si>
  <si>
    <t>ES.CAED/000145000.FACILITY</t>
  </si>
  <si>
    <t>FÁBRICA DE NIEBLA (SOCIEDAD DE CEMENTOS Y MATERIALES DE CONSTRUCCIÓN DE ANDALUCÍA, S.A.)</t>
  </si>
  <si>
    <t>DE BONARES</t>
  </si>
  <si>
    <t>21840</t>
  </si>
  <si>
    <t>Niebla</t>
  </si>
  <si>
    <t>ES.CAED/000296000.FACILITY</t>
  </si>
  <si>
    <t>CEMENTOS MOLINS INDUSTRIAL, SAU</t>
  </si>
  <si>
    <t>CEMENTOS MOLINS INDUSTRIAL (SANT VICENÇ DELS HORTS)</t>
  </si>
  <si>
    <t>N-340</t>
  </si>
  <si>
    <t>KM 1242,3  N. 2-38</t>
  </si>
  <si>
    <t>08620</t>
  </si>
  <si>
    <t>Sant Vicenç dels Horts</t>
  </si>
  <si>
    <t>ES.CAED/001757000.FACILITY</t>
  </si>
  <si>
    <t>CEMENTOS PORTLAND VALDERRIVAS, S.A.</t>
  </si>
  <si>
    <t>FÁBRICA DE ALCALÁ DE GUADAIRA (CEMENTOS PORTLAND VALDERRIVAS, S.A.)</t>
  </si>
  <si>
    <t>SEVILLA - MÁLAGA, KM. 7,4</t>
  </si>
  <si>
    <t>7</t>
  </si>
  <si>
    <t>41500</t>
  </si>
  <si>
    <t>Alcalá de Guadaíra</t>
  </si>
  <si>
    <t>ES.CAED/001758000.FACILITY</t>
  </si>
  <si>
    <t>CEMENTOS PORTLAND VALDERRIVAS</t>
  </si>
  <si>
    <t>CTRA. N-620 KM 82,5</t>
  </si>
  <si>
    <t>34200</t>
  </si>
  <si>
    <t>VENTA DE BAÑOS</t>
  </si>
  <si>
    <t>ES.CAED/001759000.FACILITY</t>
  </si>
  <si>
    <t>CEMENTOS PORTLAND VALDERRIVAS (FÁBRICA EL ALTO)</t>
  </si>
  <si>
    <t>M311</t>
  </si>
  <si>
    <t>KM 4,5</t>
  </si>
  <si>
    <t>28530</t>
  </si>
  <si>
    <t>MORATA DE TAJUÑA</t>
  </si>
  <si>
    <t>ES.CAED/001496000.FACILITY</t>
  </si>
  <si>
    <t>CEMENTOS COSMOS SA</t>
  </si>
  <si>
    <t>CEMENTOS COSMOS (OURAL)</t>
  </si>
  <si>
    <t>OURAL</t>
  </si>
  <si>
    <t>27392</t>
  </si>
  <si>
    <t>OURAL (O)</t>
  </si>
  <si>
    <t>ES.CAED/001497000.FACILITY</t>
  </si>
  <si>
    <t>CEMENTOS COSMOS (TORAL DE LOS VADOS)</t>
  </si>
  <si>
    <t>SANTALLA DE OSCOS</t>
  </si>
  <si>
    <t>176</t>
  </si>
  <si>
    <t>24560</t>
  </si>
  <si>
    <t>TORAL DE LOS VADOS</t>
  </si>
  <si>
    <t>ES.CAED/001512000.FACILITY</t>
  </si>
  <si>
    <t>SOCIEDAD FINANCIERA Y MINERA, S.A.</t>
  </si>
  <si>
    <t>CEMENTOS GOLIAT</t>
  </si>
  <si>
    <t>MÁLAGA - ALMERÍA</t>
  </si>
  <si>
    <t>KM. 8</t>
  </si>
  <si>
    <t>29080</t>
  </si>
  <si>
    <t>MALAGA</t>
  </si>
  <si>
    <t>ES.CAED/001570000.FACILITY</t>
  </si>
  <si>
    <t>FÁBRICA DE JEREZ (LAFARGEHOLCIM ESPAÑA SAU)</t>
  </si>
  <si>
    <t>JEREZ - MEDINA SIDONIA, KM. 9</t>
  </si>
  <si>
    <t>9</t>
  </si>
  <si>
    <t>11480</t>
  </si>
  <si>
    <t>Jerez de la Frontera</t>
  </si>
  <si>
    <t>ES.CAED/001573000.FACILITY</t>
  </si>
  <si>
    <t>FÁBRICA DE CARBONERAS (LAFARGEHOLCIM ESPAÑA SAU)</t>
  </si>
  <si>
    <t>RAMBLA OLIVERA</t>
  </si>
  <si>
    <t>04140</t>
  </si>
  <si>
    <t>CARBONERAS</t>
  </si>
  <si>
    <t>ES.CAED/001915000.FACILITY</t>
  </si>
  <si>
    <t>CEMENTOS TUDELA VEGUIN S.A.</t>
  </si>
  <si>
    <t>TUDELA VEGUÍN - FÁBRICA DE CEMENTOS DE ABOÑO</t>
  </si>
  <si>
    <t>ABOÑO (CARREÑO)</t>
  </si>
  <si>
    <t>33492</t>
  </si>
  <si>
    <t>ABOÑO</t>
  </si>
  <si>
    <t>ES.CAED/001916000.FACILITY</t>
  </si>
  <si>
    <t>TUDELA VEGUIN S.A.</t>
  </si>
  <si>
    <t>FÁBRICA DE CEMENTOS DE LA ROBLA</t>
  </si>
  <si>
    <t>PELOSAS</t>
  </si>
  <si>
    <t>24640</t>
  </si>
  <si>
    <t>ROBLA (LA)</t>
  </si>
  <si>
    <t>ES.CAED/002072000.FACILITY</t>
  </si>
  <si>
    <t>CEMENTOS ALFA, S.A.</t>
  </si>
  <si>
    <t>FABRICA DE MATAPORQUERA (CEMENTOS ALFA)</t>
  </si>
  <si>
    <t>LA ESTACIÓN S/N</t>
  </si>
  <si>
    <t>39410</t>
  </si>
  <si>
    <t>MATAPORQUERA</t>
  </si>
  <si>
    <t>ES.CAED/002578000.FACILITY</t>
  </si>
  <si>
    <t>CEMEX ESPAÑA OPERACIONES, S.L.U.</t>
  </si>
  <si>
    <t>CEMEX ESPAÑA OPERACIONES (ALCANAR)</t>
  </si>
  <si>
    <t>LA MARTINENCA</t>
  </si>
  <si>
    <t>43530</t>
  </si>
  <si>
    <t>Alcanar</t>
  </si>
  <si>
    <t>ES.CAED/002583000.FACILITY</t>
  </si>
  <si>
    <t>N-400. CASTILLEJO - YEPES (TOLEDO)</t>
  </si>
  <si>
    <t>KM.24</t>
  </si>
  <si>
    <t>45311</t>
  </si>
  <si>
    <t>YEPES</t>
  </si>
  <si>
    <t>ES.CAED/002585000.FACILITY</t>
  </si>
  <si>
    <t>CEMEX ESPAÑA OPERACIONES, S.L.U. - PLANTA DE MORATA</t>
  </si>
  <si>
    <t>AFUERAS</t>
  </si>
  <si>
    <t>50260</t>
  </si>
  <si>
    <t>MORATA DE JALON</t>
  </si>
  <si>
    <t>ES.CAED/002586000.FACILITY</t>
  </si>
  <si>
    <t>CEMEX ESPAÑA-ALICANTE (CEMENTO BLANCO)</t>
  </si>
  <si>
    <t>PARTIDA FONT CALENT</t>
  </si>
  <si>
    <t>03313</t>
  </si>
  <si>
    <t>ALICANTE/ALACANT</t>
  </si>
  <si>
    <t>ES.CAED/003036000.FACILITY</t>
  </si>
  <si>
    <t>CEMENTOS PORTLAND VALDERRIVAS (SANTA MARGARIDA I ELS MONJOS)</t>
  </si>
  <si>
    <t>PLA DE ESTACIÓ</t>
  </si>
  <si>
    <t>08730</t>
  </si>
  <si>
    <t>Santa Margarida i els Monjos</t>
  </si>
  <si>
    <t>ES.CAED/003037000.FACILITY</t>
  </si>
  <si>
    <t>CEMENTOS PORTLAND VALDERRIVAS (VALLCARCA)</t>
  </si>
  <si>
    <t>COMARCAL 31 (VALLCARCA)</t>
  </si>
  <si>
    <t>KM 168</t>
  </si>
  <si>
    <t>08872</t>
  </si>
  <si>
    <t>Sitges</t>
  </si>
  <si>
    <t>ES.CAED/003686000.FACILITY</t>
  </si>
  <si>
    <t>SOCIEDAD FINANCIERA Y MINERA, S.A. (CEMENTOS REZOLA ARRIGORRIAGA)</t>
  </si>
  <si>
    <t>ARANE</t>
  </si>
  <si>
    <t>48480</t>
  </si>
  <si>
    <t>Arrigorriaga</t>
  </si>
  <si>
    <t>ES.CAED/003718000.FACILITY</t>
  </si>
  <si>
    <t>LEMONA INDUSTRIAL, S.A.</t>
  </si>
  <si>
    <t>LEMONA INDUSTRIAL, S.A. (LEMONA INDUSTRIAL, S.A)</t>
  </si>
  <si>
    <t>ARRAIBI</t>
  </si>
  <si>
    <t>40</t>
  </si>
  <si>
    <t>48330</t>
  </si>
  <si>
    <t>ESTAZIÑOA</t>
  </si>
  <si>
    <t>FR.CAED/10017.FACILITY</t>
  </si>
  <si>
    <t>LAFARGEHOLCIM-CIMENTS</t>
  </si>
  <si>
    <t>LAFARGE CIMENTS CIMENTERIE SITE DE MARTRES TOLOSANE</t>
  </si>
  <si>
    <t>77, Avenue des Pyrénées</t>
  </si>
  <si>
    <t>31220</t>
  </si>
  <si>
    <t>MARTRES TOLOSANE</t>
  </si>
  <si>
    <t>FR.CAED/11610.FACILITY</t>
  </si>
  <si>
    <t>CIMENTS CALCIA</t>
  </si>
  <si>
    <t>CIMENTS CALCIA - SITE D'AIRVAULT</t>
  </si>
  <si>
    <t>Rue du Fief d'Argent</t>
  </si>
  <si>
    <t>79600</t>
  </si>
  <si>
    <t>AIRVAULT</t>
  </si>
  <si>
    <t>FR.CAED/11830.FACILITY</t>
  </si>
  <si>
    <t>CIMENTS CALCIA - SITE DE BUSSAC</t>
  </si>
  <si>
    <t>25 route de la cimenterie</t>
  </si>
  <si>
    <t>17210</t>
  </si>
  <si>
    <t>BUSSAC FORET</t>
  </si>
  <si>
    <t>FR.CAED/12539.FACILITY</t>
  </si>
  <si>
    <t>CIMENTS CALCIA - SITE DE VILLIERS AU BOUIN</t>
  </si>
  <si>
    <t>Usine de Villiers-au-Bouin</t>
  </si>
  <si>
    <t>37330</t>
  </si>
  <si>
    <t>VILLIERS AU BOUIN</t>
  </si>
  <si>
    <t>FR.CAED/12874.FACILITY</t>
  </si>
  <si>
    <t>CIMENTS CALCIA - SITE DE BEFFES</t>
  </si>
  <si>
    <t>Usine de Beffes</t>
  </si>
  <si>
    <t>18320</t>
  </si>
  <si>
    <t>BEFFES</t>
  </si>
  <si>
    <t>FR.CAED/1422.FACILITY</t>
  </si>
  <si>
    <t>CALCIA RANVILLE</t>
  </si>
  <si>
    <t>CIMENTS CALCIA - USINE DE RANVILLE</t>
  </si>
  <si>
    <t>Route de Colombelle</t>
  </si>
  <si>
    <t>14860</t>
  </si>
  <si>
    <t>RANVILLE</t>
  </si>
  <si>
    <t>FR.CAED/2853.FACILITY</t>
  </si>
  <si>
    <t>VICAT</t>
  </si>
  <si>
    <t>VICAT USINE DE CRÉCHY</t>
  </si>
  <si>
    <t>Les Andrivaux</t>
  </si>
  <si>
    <t>03150</t>
  </si>
  <si>
    <t>CRECHY</t>
  </si>
  <si>
    <t>FR.CAED/4291.FACILITY</t>
  </si>
  <si>
    <t>EQIOM CIMENTERIE DE ROCHEFORT</t>
  </si>
  <si>
    <t>EQIOM</t>
  </si>
  <si>
    <t>ZI</t>
  </si>
  <si>
    <t>39700</t>
  </si>
  <si>
    <t>ROCHEFORT SUR NENON</t>
  </si>
  <si>
    <t>FR.CAED/3507.FACILITY</t>
  </si>
  <si>
    <t>CIMENTS CALCIA - USINE DE COUVROT</t>
  </si>
  <si>
    <t>BP 80007</t>
  </si>
  <si>
    <t>51301</t>
  </si>
  <si>
    <t>VITRY LE FRANCOIS</t>
  </si>
  <si>
    <t>FR.CAED/5088.FACILITY</t>
  </si>
  <si>
    <t>CIMENTS CALCIA USINE DE CRUAS</t>
  </si>
  <si>
    <t>Quartier CARABAS BP 5</t>
  </si>
  <si>
    <t>07350</t>
  </si>
  <si>
    <t>CRUAS</t>
  </si>
  <si>
    <t>FR.CAED/5097.FACILITY</t>
  </si>
  <si>
    <t>LAFARGEHOLCIM CIMENTS</t>
  </si>
  <si>
    <t>LAFARGEHOLCIM CIMENTS - USINE DU TEIL</t>
  </si>
  <si>
    <t>BP 5</t>
  </si>
  <si>
    <t>07407</t>
  </si>
  <si>
    <t>LE TEIL</t>
  </si>
  <si>
    <t>FR.CAED/5161.FACILITY</t>
  </si>
  <si>
    <t>USINE DE MONTALIEU</t>
  </si>
  <si>
    <t>Route des usines</t>
  </si>
  <si>
    <t>38390</t>
  </si>
  <si>
    <t>MONTALIEU VERCIEU</t>
  </si>
  <si>
    <t>FR.CAED/5217.FACILITY</t>
  </si>
  <si>
    <t>VICAT SAINT-EGRÈVE</t>
  </si>
  <si>
    <t>1 rue du Lac</t>
  </si>
  <si>
    <t>38522</t>
  </si>
  <si>
    <t>ST EGREVE</t>
  </si>
  <si>
    <t>FR.CAED/7788.FACILITY</t>
  </si>
  <si>
    <t>LAFARGEHOLCIM CIMENTS - USINE DE LA MALLE</t>
  </si>
  <si>
    <t>BP6</t>
  </si>
  <si>
    <t>13240</t>
  </si>
  <si>
    <t>SEPTEMES LES VALLONS</t>
  </si>
  <si>
    <t>FR.CAED/5952.FACILITY</t>
  </si>
  <si>
    <t>USINE DE XEUILLEY</t>
  </si>
  <si>
    <t>16 route de Pierreville</t>
  </si>
  <si>
    <t>54990</t>
  </si>
  <si>
    <t>XEUILLEY</t>
  </si>
  <si>
    <t>FR.CAED/6046.FACILITY</t>
  </si>
  <si>
    <t>EQIOM - USINE DE HÉMING</t>
  </si>
  <si>
    <t>Route de Lorquin</t>
  </si>
  <si>
    <t>57830</t>
  </si>
  <si>
    <t>HEMING</t>
  </si>
  <si>
    <t>FR.CAED/6581.FACILITY</t>
  </si>
  <si>
    <t>FRANÇOIS BEAUGENDRE</t>
  </si>
  <si>
    <t>LAFARGE HOLCIM CIMENTS SITE DE SAINT PIERRE LA COUR</t>
  </si>
  <si>
    <t>Route de Bréal</t>
  </si>
  <si>
    <t>53410</t>
  </si>
  <si>
    <t>ST PIERRE LA COUR</t>
  </si>
  <si>
    <t>FR.CAED/7438.FACILITY</t>
  </si>
  <si>
    <t>USINE DE CONTES</t>
  </si>
  <si>
    <t>BP 49</t>
  </si>
  <si>
    <t>06391</t>
  </si>
  <si>
    <t>CONTES</t>
  </si>
  <si>
    <t>FR.CAED/7444.FACILITY</t>
  </si>
  <si>
    <t>VICAT-USINE DE PEILLE</t>
  </si>
  <si>
    <t>La Grave de Peille</t>
  </si>
  <si>
    <t>06440</t>
  </si>
  <si>
    <t>BLAUSASC</t>
  </si>
  <si>
    <t>FR.CAED/8281.FACILITY</t>
  </si>
  <si>
    <t>CIMENTS CALCIA USINE DE GARGENVILLE</t>
  </si>
  <si>
    <t>rue Victor Hugo</t>
  </si>
  <si>
    <t>78440</t>
  </si>
  <si>
    <t>GARGENVILLE</t>
  </si>
  <si>
    <t>FR.CAED/8921.FACILITY</t>
  </si>
  <si>
    <t>780 Avenue d'Occitanie</t>
  </si>
  <si>
    <t>11210</t>
  </si>
  <si>
    <t>PORT LA NOUVELLE</t>
  </si>
  <si>
    <t>FR.CAED/8958.FACILITY</t>
  </si>
  <si>
    <t>CIMENTS CALCIA - USINE DE BEAUCAIRE</t>
  </si>
  <si>
    <t>Usine de Beaucaire - Route de Saint Gilles</t>
  </si>
  <si>
    <t>30302</t>
  </si>
  <si>
    <t>BEAUCAIRE</t>
  </si>
  <si>
    <t>FR.CAED/9545.FACILITY</t>
  </si>
  <si>
    <t>HOLCIM HAUT-RHIN</t>
  </si>
  <si>
    <t>HOLCIM HAUT RHIN - USINE D'ALTKIRCH</t>
  </si>
  <si>
    <t>1 route de Thann</t>
  </si>
  <si>
    <t>68130</t>
  </si>
  <si>
    <t>ALTKIRCH</t>
  </si>
  <si>
    <t>HR.CAED/000000050.FACILITY</t>
  </si>
  <si>
    <t>Holcim (Hrvatska) d.o.o.</t>
  </si>
  <si>
    <t>Proizvodnja cementa Koromačno</t>
  </si>
  <si>
    <t>Koromačno</t>
  </si>
  <si>
    <t>bb</t>
  </si>
  <si>
    <t>52222</t>
  </si>
  <si>
    <t>HR.CAED/000000051.FACILITY</t>
  </si>
  <si>
    <t>CEMEX HRVATSKA D.D.</t>
  </si>
  <si>
    <t>TVORNICA CEMENTA "SVETI KAJO"</t>
  </si>
  <si>
    <t>SALONITANSKA</t>
  </si>
  <si>
    <t>19</t>
  </si>
  <si>
    <t>21210</t>
  </si>
  <si>
    <t>Solin</t>
  </si>
  <si>
    <t>HR.CAED/000000052.FACILITY</t>
  </si>
  <si>
    <t>TVORNICA CEMENTA "SVETI JURAJ"</t>
  </si>
  <si>
    <t>F. TUĐMANA</t>
  </si>
  <si>
    <t>45</t>
  </si>
  <si>
    <t>21212</t>
  </si>
  <si>
    <t>Kaštel Sućurac</t>
  </si>
  <si>
    <t>HR.CAED/000000073.FACILITY</t>
  </si>
  <si>
    <t>NEXE GRADNJA d.o.o. za graditeljstvo Našice</t>
  </si>
  <si>
    <t>NEXE GRADNJA d.o.o.</t>
  </si>
  <si>
    <t>Tajnovac</t>
  </si>
  <si>
    <t>1</t>
  </si>
  <si>
    <t>31500</t>
  </si>
  <si>
    <t>Našice</t>
  </si>
  <si>
    <t>HU.OKIR/100329299.FACILITY</t>
  </si>
  <si>
    <t>Duna-Dráva Cement Kft.</t>
  </si>
  <si>
    <t>Külterület kültelek/külterület;</t>
  </si>
  <si>
    <t>Pf.:20</t>
  </si>
  <si>
    <t>7827</t>
  </si>
  <si>
    <t>Beremend</t>
  </si>
  <si>
    <t>HU.OKIR/100373971.FACILITY</t>
  </si>
  <si>
    <t>Wopfinger Baustoffindustrie GmbH-Schmid Holding</t>
  </si>
  <si>
    <t>Calmit Hungária Mészművek Kft.</t>
  </si>
  <si>
    <t>Rákóczi Ferenc utca</t>
  </si>
  <si>
    <t>60</t>
  </si>
  <si>
    <t>2541</t>
  </si>
  <si>
    <t>Lábatlan</t>
  </si>
  <si>
    <t>HU.OKIR/100401517.FACILITY</t>
  </si>
  <si>
    <t>Kőhídpart dűlő</t>
  </si>
  <si>
    <t>2600</t>
  </si>
  <si>
    <t>Vác</t>
  </si>
  <si>
    <t>HU.OKIR/101537691.FACILITY</t>
  </si>
  <si>
    <t>Lafarge Cement Magyarország Kft</t>
  </si>
  <si>
    <t>Lafarge Cement Magyarország Gyártó és Kereskedelmi Kft.</t>
  </si>
  <si>
    <t xml:space="preserve">külterület </t>
  </si>
  <si>
    <t>041/29</t>
  </si>
  <si>
    <t>7953</t>
  </si>
  <si>
    <t>Királyegyháza</t>
  </si>
  <si>
    <t>IE.CAED/P0378.FACILITY</t>
  </si>
  <si>
    <t>Quinn Cement Limited</t>
  </si>
  <si>
    <t>Cement Works</t>
  </si>
  <si>
    <t>Scotchtown</t>
  </si>
  <si>
    <t>Cavan</t>
  </si>
  <si>
    <t>IE.CAED/P0029.FACILITY</t>
  </si>
  <si>
    <t>Irish Cement Limited</t>
  </si>
  <si>
    <t>Irish Cement Limited (Limerick)</t>
  </si>
  <si>
    <t>Castlemungret</t>
  </si>
  <si>
    <t>.</t>
  </si>
  <si>
    <t>Limerick</t>
  </si>
  <si>
    <t>IE.CAED/P0030.FACILITY</t>
  </si>
  <si>
    <t>Irish Cement Limited (Platin)</t>
  </si>
  <si>
    <t>Platin Works</t>
  </si>
  <si>
    <t>Meath</t>
  </si>
  <si>
    <t>IE.CAED/P0487.FACILITY</t>
  </si>
  <si>
    <t>Breedon Cement Ireland Limited</t>
  </si>
  <si>
    <t>Killaskillen</t>
  </si>
  <si>
    <t>Kinnegad</t>
  </si>
  <si>
    <t>LU.CAED/000004000.FACILITY</t>
  </si>
  <si>
    <t>Cimalux</t>
  </si>
  <si>
    <t>Cimalux S.A.</t>
  </si>
  <si>
    <t>Langengrund</t>
  </si>
  <si>
    <t>-</t>
  </si>
  <si>
    <t>3701</t>
  </si>
  <si>
    <t>Rumelange</t>
  </si>
  <si>
    <t>RO.CAED/102NT0001.FACILITY</t>
  </si>
  <si>
    <t>HEIDELBERGCEMENT ROMANIA SA</t>
  </si>
  <si>
    <t>DN 12C nr. FN</t>
  </si>
  <si>
    <t>617455</t>
  </si>
  <si>
    <t>Taşca</t>
  </si>
  <si>
    <t>RO.CAED/106BH0001.FACILITY</t>
  </si>
  <si>
    <t>HOLCIM  (Romania) SA</t>
  </si>
  <si>
    <t>HOLCIM  (Romania) SA - Ciment Alesd</t>
  </si>
  <si>
    <t>Str. Viitorului nr. 2</t>
  </si>
  <si>
    <t>417022</t>
  </si>
  <si>
    <t>CHISTAG</t>
  </si>
  <si>
    <t>RO.CAED/108BV0001.FACILITY</t>
  </si>
  <si>
    <t>SC CRH CIMENT (ROMANIA) SA</t>
  </si>
  <si>
    <t>SC CRH CIMENT (ROMANIA) SA.</t>
  </si>
  <si>
    <t>Str.  Padurii nr. 1</t>
  </si>
  <si>
    <t>507095</t>
  </si>
  <si>
    <t>Hoghiz</t>
  </si>
  <si>
    <t>RO.CAED/108DB0001.FACILITY</t>
  </si>
  <si>
    <t>HEIDELBERGCEMENT ROMANIA SA -Sucursala Fieni</t>
  </si>
  <si>
    <t>Str. Aurel Rainu nr.34</t>
  </si>
  <si>
    <t>135100</t>
  </si>
  <si>
    <t>FIENI</t>
  </si>
  <si>
    <t>RO.CAED/108HD0001.FACILITY</t>
  </si>
  <si>
    <t>FABRICA DE CIMENT CHISCADAGA</t>
  </si>
  <si>
    <t>Principala nr. 1</t>
  </si>
  <si>
    <t>337457</t>
  </si>
  <si>
    <t>CHISCADAGA</t>
  </si>
  <si>
    <t>SI.ARSO/000000011.FACILITY</t>
  </si>
  <si>
    <t>SALONIT ANHOVO gradbeni materiali, d.d.</t>
  </si>
  <si>
    <t>SALONIT ANHOVO gradbeni materiali</t>
  </si>
  <si>
    <t>Anhovo</t>
  </si>
  <si>
    <t>5210</t>
  </si>
  <si>
    <t>Deskle</t>
  </si>
  <si>
    <t>UK.CAED/NRW170005.FACILITY</t>
  </si>
  <si>
    <t>Lafarge Tarmac Cement and Lime Limited</t>
  </si>
  <si>
    <t>Aberthaw Works</t>
  </si>
  <si>
    <t>East Aberthaw</t>
  </si>
  <si>
    <t>CF62 3ZR</t>
  </si>
  <si>
    <t>Barry</t>
  </si>
  <si>
    <t>UK.CAED/NRW170258.FACILITY</t>
  </si>
  <si>
    <t>Castle Cement Limited</t>
  </si>
  <si>
    <t>Padeswood Cement Works</t>
  </si>
  <si>
    <t>Padeswood Works, Mold</t>
  </si>
  <si>
    <t>PADESWOOD WORKS</t>
  </si>
  <si>
    <t>CH7 4HB</t>
  </si>
  <si>
    <t>Mold</t>
  </si>
  <si>
    <t>UK.CAED/P0052_04A.FACILITY</t>
  </si>
  <si>
    <t>Lafarge Cement (Ireland) Ltd.</t>
  </si>
  <si>
    <t>Lafarge Tarmac Cement &amp; Lime Ltd</t>
  </si>
  <si>
    <t>Sandholes Road</t>
  </si>
  <si>
    <t>28</t>
  </si>
  <si>
    <t>BT80 9AR</t>
  </si>
  <si>
    <t>Cookstown</t>
  </si>
  <si>
    <t>UK.SEPA/200000008.Facility</t>
  </si>
  <si>
    <t>Tarmac Cement And Lime Limited</t>
  </si>
  <si>
    <t>Dunbar Works, East Lothian</t>
  </si>
  <si>
    <t>Dunbar Works, Oxwell Mains</t>
  </si>
  <si>
    <t>EH42 1SL</t>
  </si>
  <si>
    <t>Dunbar</t>
  </si>
  <si>
    <t>C(i) (ton)</t>
  </si>
  <si>
    <t>Poland</t>
  </si>
  <si>
    <t>Czech Republic</t>
  </si>
  <si>
    <t>Hungry</t>
  </si>
  <si>
    <t>Bulgaria</t>
  </si>
  <si>
    <t>Slovakia</t>
  </si>
  <si>
    <t>Latvia</t>
  </si>
  <si>
    <t>Lithuania</t>
  </si>
  <si>
    <t>Romania</t>
  </si>
  <si>
    <t>Albania</t>
  </si>
  <si>
    <t>FYROM</t>
  </si>
  <si>
    <t>Croatia</t>
  </si>
  <si>
    <t>Spain</t>
  </si>
  <si>
    <t>Italy</t>
  </si>
  <si>
    <t>Slovenia</t>
  </si>
  <si>
    <t>Bosnia-Herzegovina</t>
  </si>
  <si>
    <t>Germany</t>
  </si>
  <si>
    <t>Netherlands</t>
  </si>
  <si>
    <t>France</t>
  </si>
  <si>
    <t>Greece</t>
  </si>
  <si>
    <t>UK</t>
  </si>
  <si>
    <t>Denmark</t>
  </si>
  <si>
    <t>Norway</t>
  </si>
  <si>
    <t>Belgium</t>
  </si>
  <si>
    <t>j1</t>
  </si>
  <si>
    <t>j2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</si>
  <si>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</si>
  <si>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</si>
  <si>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</si>
  <si>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</si>
  <si>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</si>
  <si>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</si>
  <si>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</si>
  <si>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</si>
  <si>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</si>
  <si>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</si>
  <si>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</si>
  <si>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</si>
  <si>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</si>
  <si>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</si>
  <si>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</si>
  <si>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</si>
  <si>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</si>
  <si>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</si>
  <si>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</si>
  <si>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</si>
  <si>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</si>
  <si>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i1</t>
  </si>
  <si>
    <t>i2</t>
  </si>
  <si>
    <t>i3</t>
  </si>
  <si>
    <t>i4</t>
  </si>
  <si>
    <t>i5</t>
  </si>
  <si>
    <t>i6</t>
  </si>
  <si>
    <t>i7</t>
  </si>
  <si>
    <t>i8</t>
  </si>
  <si>
    <t>i9</t>
  </si>
  <si>
    <t>i10</t>
  </si>
  <si>
    <t>i11</t>
  </si>
  <si>
    <t>i12</t>
  </si>
  <si>
    <t>i13</t>
  </si>
  <si>
    <t>i14</t>
  </si>
  <si>
    <t>i15</t>
  </si>
  <si>
    <t>i16</t>
  </si>
  <si>
    <t>i17</t>
  </si>
  <si>
    <t>i18</t>
  </si>
  <si>
    <t>i19</t>
  </si>
  <si>
    <t>i20</t>
  </si>
  <si>
    <t>i21</t>
  </si>
  <si>
    <t>i22</t>
  </si>
  <si>
    <t>i23</t>
  </si>
  <si>
    <t>i24</t>
  </si>
  <si>
    <t>i25</t>
  </si>
  <si>
    <t>i26</t>
  </si>
  <si>
    <t>i27</t>
  </si>
  <si>
    <t>i28</t>
  </si>
  <si>
    <t>i29</t>
  </si>
  <si>
    <t>i30</t>
  </si>
  <si>
    <t>i31</t>
  </si>
  <si>
    <t>i32</t>
  </si>
  <si>
    <t>i33</t>
  </si>
  <si>
    <t>i34</t>
  </si>
  <si>
    <t>i35</t>
  </si>
  <si>
    <t>i36</t>
  </si>
  <si>
    <t>i37</t>
  </si>
  <si>
    <t>i38</t>
  </si>
  <si>
    <t>i39</t>
  </si>
  <si>
    <t>i40</t>
  </si>
  <si>
    <t>i41</t>
  </si>
  <si>
    <t>i42</t>
  </si>
  <si>
    <t>i43</t>
  </si>
  <si>
    <t>i44</t>
  </si>
  <si>
    <t>i45</t>
  </si>
  <si>
    <t>i46</t>
  </si>
  <si>
    <t>i47</t>
  </si>
  <si>
    <t>i48</t>
  </si>
  <si>
    <t>i49</t>
  </si>
  <si>
    <t>i50</t>
  </si>
  <si>
    <t>i51</t>
  </si>
  <si>
    <t>i52</t>
  </si>
  <si>
    <t>i53</t>
  </si>
  <si>
    <t>i54</t>
  </si>
  <si>
    <t>i55</t>
  </si>
  <si>
    <t>i56</t>
  </si>
  <si>
    <t>i57</t>
  </si>
  <si>
    <t>i58</t>
  </si>
  <si>
    <t>i59</t>
  </si>
  <si>
    <t>i60</t>
  </si>
  <si>
    <t>i61</t>
  </si>
  <si>
    <t>i62</t>
  </si>
  <si>
    <t>i63</t>
  </si>
  <si>
    <t>i64</t>
  </si>
  <si>
    <t>i65</t>
  </si>
  <si>
    <t>i66</t>
  </si>
  <si>
    <t>i67</t>
  </si>
  <si>
    <t>i68</t>
  </si>
  <si>
    <t>i69</t>
  </si>
  <si>
    <t>i70</t>
  </si>
  <si>
    <t>i71</t>
  </si>
  <si>
    <t>i72</t>
  </si>
  <si>
    <t>i73</t>
  </si>
  <si>
    <t>i74</t>
  </si>
  <si>
    <t>i75</t>
  </si>
  <si>
    <t>i76</t>
  </si>
  <si>
    <t>i77</t>
  </si>
  <si>
    <t>i78</t>
  </si>
  <si>
    <t>i79</t>
  </si>
  <si>
    <t>i80</t>
  </si>
  <si>
    <t>i81</t>
  </si>
  <si>
    <t>i82</t>
  </si>
  <si>
    <t>i83</t>
  </si>
  <si>
    <t>i84</t>
  </si>
  <si>
    <t>i85</t>
  </si>
  <si>
    <t>i86</t>
  </si>
  <si>
    <t>i87</t>
  </si>
  <si>
    <t>i88</t>
  </si>
  <si>
    <t>i89</t>
  </si>
  <si>
    <t>i90</t>
  </si>
  <si>
    <t>i91</t>
  </si>
  <si>
    <t>i92</t>
  </si>
  <si>
    <t>population by</t>
  </si>
  <si>
    <t>diameter</t>
  </si>
  <si>
    <t>pipeline construction cost</t>
  </si>
  <si>
    <t>onshore</t>
  </si>
  <si>
    <t>offshore(marine policy article)</t>
  </si>
  <si>
    <t>in to m</t>
  </si>
  <si>
    <t xml:space="preserve">capture fixed cost </t>
  </si>
  <si>
    <t>pipe1</t>
  </si>
  <si>
    <t>900 ($/kw)</t>
  </si>
  <si>
    <t>pipe2</t>
  </si>
  <si>
    <t>pipe3</t>
  </si>
  <si>
    <t>pipe4</t>
  </si>
  <si>
    <t>pipe5</t>
  </si>
  <si>
    <t>pipe6</t>
  </si>
  <si>
    <t>storage cost</t>
  </si>
  <si>
    <t>averag</t>
  </si>
  <si>
    <t>Onshore (University of California, Berkeley)</t>
  </si>
  <si>
    <t>offshore (ipcc&amp;main)</t>
  </si>
  <si>
    <t>CO2 flowrate (Mtpa)</t>
  </si>
  <si>
    <t>Min CO2 flowrate</t>
  </si>
  <si>
    <t>Max CO2 flowrate</t>
  </si>
  <si>
    <t xml:space="preserve"> 100 mile cost</t>
  </si>
  <si>
    <t>mile to km</t>
  </si>
  <si>
    <t>UTC (p)</t>
  </si>
  <si>
    <t>Tourani</t>
  </si>
  <si>
    <t>Vise</t>
  </si>
  <si>
    <t xml:space="preserve">wallonia </t>
  </si>
  <si>
    <t xml:space="preserve">Devnya </t>
  </si>
  <si>
    <t xml:space="preserve">Vratsa </t>
  </si>
  <si>
    <t>Yablanitsa</t>
  </si>
  <si>
    <t>BE(belgium)</t>
  </si>
  <si>
    <t>BG (Bulgaria)</t>
  </si>
  <si>
    <t>CH (Switzerland)</t>
  </si>
  <si>
    <t>CY (Cyprus)</t>
  </si>
  <si>
    <t>Prague</t>
  </si>
  <si>
    <t>Tvarožná Lhota</t>
  </si>
  <si>
    <t>Aalborg</t>
  </si>
  <si>
    <t>DK (Denmark)4</t>
  </si>
  <si>
    <t>EE (Estonia)</t>
  </si>
  <si>
    <t xml:space="preserve">Kunda </t>
  </si>
  <si>
    <t>ES (Spain)</t>
  </si>
  <si>
    <t>Sarria</t>
  </si>
  <si>
    <t xml:space="preserve">Asturias </t>
  </si>
  <si>
    <t xml:space="preserve">Lemoa </t>
  </si>
  <si>
    <t>FR (France)</t>
  </si>
  <si>
    <t>HR (Croatia)</t>
  </si>
  <si>
    <t>HU (Hungry)</t>
  </si>
  <si>
    <t xml:space="preserve">Baranya </t>
  </si>
  <si>
    <t>IE (Ireland)</t>
  </si>
  <si>
    <t>LU (Luxembourg)</t>
  </si>
  <si>
    <t>RO (Romania)</t>
  </si>
  <si>
    <t>Deva</t>
  </si>
  <si>
    <t>SI (slovenia)</t>
  </si>
  <si>
    <t>GB (UK)</t>
  </si>
  <si>
    <t>country</t>
  </si>
  <si>
    <t>field category</t>
  </si>
  <si>
    <t>field name</t>
  </si>
  <si>
    <t>Dumre</t>
  </si>
  <si>
    <t>Population</t>
  </si>
  <si>
    <t>aquifer</t>
  </si>
  <si>
    <t>Dumre salt dome</t>
  </si>
  <si>
    <t>hydrocarbon</t>
  </si>
  <si>
    <t>storage capacity</t>
  </si>
  <si>
    <t>Kucove</t>
  </si>
  <si>
    <t>Fier</t>
  </si>
  <si>
    <t>mode</t>
  </si>
  <si>
    <t>Onshore</t>
  </si>
  <si>
    <t>Vlore</t>
  </si>
  <si>
    <t>Cakran-Mollaj oil field</t>
  </si>
  <si>
    <t>Gorisht- Kocul oil field</t>
  </si>
  <si>
    <t>S. Marinza oil field</t>
  </si>
  <si>
    <t>S. Driza  oil field</t>
  </si>
  <si>
    <t>Kucove oil field</t>
  </si>
  <si>
    <t>Hungary</t>
  </si>
  <si>
    <t>Bukkalja</t>
  </si>
  <si>
    <t>Coal field</t>
  </si>
  <si>
    <t>Pécs</t>
  </si>
  <si>
    <t>mecsek coal formation</t>
  </si>
  <si>
    <t>Torony</t>
  </si>
  <si>
    <t>Vas country</t>
  </si>
  <si>
    <t>bigger than 10 mton</t>
  </si>
  <si>
    <t>each part of europe 2 countries</t>
  </si>
  <si>
    <t>Borsod-Abaúj-Zemplén County</t>
  </si>
  <si>
    <t>Europe</t>
  </si>
  <si>
    <t>Central East Group</t>
  </si>
  <si>
    <t>North East Group</t>
  </si>
  <si>
    <t>Vienna basin</t>
  </si>
  <si>
    <t>East Slovakian basin</t>
  </si>
  <si>
    <t>Záhorie</t>
  </si>
  <si>
    <t>Banská Bystrica</t>
  </si>
  <si>
    <t>Blidene</t>
  </si>
  <si>
    <t>Dobele</t>
  </si>
  <si>
    <t>Luku-Duku</t>
  </si>
  <si>
    <t>S. Kandava</t>
  </si>
  <si>
    <t>Aizpute</t>
  </si>
  <si>
    <t>latvia</t>
  </si>
  <si>
    <t>Brocēni</t>
  </si>
  <si>
    <t>Semigallia</t>
  </si>
  <si>
    <t>Skrunda</t>
  </si>
  <si>
    <t>Kandava</t>
  </si>
  <si>
    <t>max 5 from each country</t>
  </si>
  <si>
    <t>kalinovac</t>
  </si>
  <si>
    <t>Ika</t>
  </si>
  <si>
    <t>South Group</t>
  </si>
  <si>
    <t>Molve gas project</t>
  </si>
  <si>
    <t>Koprivnica-Križevci</t>
  </si>
  <si>
    <t>Zutica oil field</t>
  </si>
  <si>
    <t>Ivanić Grad</t>
  </si>
  <si>
    <t xml:space="preserve">Opatija </t>
  </si>
  <si>
    <t>Osijek</t>
  </si>
  <si>
    <t>Sarajevo</t>
  </si>
  <si>
    <t>Möriken-Wildegg</t>
  </si>
  <si>
    <t>PDI</t>
  </si>
  <si>
    <t>UAI</t>
  </si>
  <si>
    <t>LTO</t>
  </si>
  <si>
    <t>IDV</t>
  </si>
  <si>
    <t>MAS</t>
  </si>
  <si>
    <t>IVR</t>
  </si>
  <si>
    <t>switzerland</t>
  </si>
  <si>
    <t>germany</t>
  </si>
  <si>
    <t>Cyprus</t>
  </si>
  <si>
    <t>Serbia</t>
  </si>
  <si>
    <t>Bosinia</t>
  </si>
  <si>
    <t>Dzeirzanowo storgae</t>
  </si>
  <si>
    <t>storage capacity (t)</t>
  </si>
  <si>
    <t>Upper Silesian Basin</t>
  </si>
  <si>
    <t>Coal fields</t>
  </si>
  <si>
    <t>Moravian-Silesian Region</t>
  </si>
  <si>
    <t>Masovian Voivodeship</t>
  </si>
  <si>
    <t>Ostrava-Karviná Coal Area</t>
  </si>
  <si>
    <t>plonsk</t>
  </si>
  <si>
    <t>Tataru</t>
  </si>
  <si>
    <t>Region</t>
  </si>
  <si>
    <t>Muntenia</t>
  </si>
  <si>
    <t>hydrocarbon fields</t>
  </si>
  <si>
    <t>ploiesti</t>
  </si>
  <si>
    <t>Almazan</t>
  </si>
  <si>
    <t>Soria and Zaragoza</t>
  </si>
  <si>
    <t>coal fields</t>
  </si>
  <si>
    <t>Sulcis Coal Basin</t>
  </si>
  <si>
    <t>Sardinia</t>
  </si>
  <si>
    <t>silesian region</t>
  </si>
  <si>
    <t>katowice</t>
  </si>
  <si>
    <t>silesian coal basin</t>
  </si>
  <si>
    <t>Ústí nad Labem</t>
  </si>
  <si>
    <t>Zatec</t>
  </si>
  <si>
    <t>Central bohemian Upper Palaezoic</t>
  </si>
  <si>
    <t>Ghercesti- Malu mare</t>
  </si>
  <si>
    <t>Oltenia</t>
  </si>
  <si>
    <t xml:space="preserve">Craiova </t>
  </si>
  <si>
    <t>Tielmes</t>
  </si>
  <si>
    <t>Madrid</t>
  </si>
  <si>
    <t>Tielmes-Aranjuez</t>
  </si>
  <si>
    <t>CO3</t>
  </si>
  <si>
    <t>CO4</t>
  </si>
  <si>
    <t>CO5</t>
  </si>
  <si>
    <t>CO6</t>
  </si>
  <si>
    <t>CO7</t>
  </si>
  <si>
    <t>CO8</t>
  </si>
  <si>
    <t>CO9</t>
  </si>
  <si>
    <t>CO10</t>
  </si>
  <si>
    <t>CO11</t>
  </si>
  <si>
    <t>CO12</t>
  </si>
  <si>
    <t>CO13</t>
  </si>
  <si>
    <t>3(c)</t>
  </si>
  <si>
    <t>Installations for the production of cement clinker in rotary kilns, lime in rotary kilns, cement or lime in other furnaces. Note to reporters, use Level 3 activity e.g. 3(c)(i), in preference to 3(c). Level 2 activity class (i.e. 3(c)) only to be used where Level 3 is not available.</t>
  </si>
  <si>
    <t>EL.CAED/100076.FACILITY</t>
  </si>
  <si>
    <t>TITAN CEMENT S.A.</t>
  </si>
  <si>
    <t>TITAN CEMENT S.A. - KAMARI PLANT</t>
  </si>
  <si>
    <t>MAGOULA - DERVENOCHORIA PROVINCIAL ROAD</t>
  </si>
  <si>
    <t>0</t>
  </si>
  <si>
    <t>32009</t>
  </si>
  <si>
    <t>GR (Greece)</t>
  </si>
  <si>
    <t>KAMARI</t>
  </si>
  <si>
    <t>EL.CAED/100080.FACILITY</t>
  </si>
  <si>
    <t>LAFARGEHOLCIM GROUP OF COMPANIES</t>
  </si>
  <si>
    <t>HERACLES G.C.Co, VOLOS PLANT</t>
  </si>
  <si>
    <t>5 KM NATIONAL ROAD VOLOS - AGRIA</t>
  </si>
  <si>
    <t>38100</t>
  </si>
  <si>
    <t>PORTARIA</t>
  </si>
  <si>
    <t>PL.MŚ/000000067.FACILITY</t>
  </si>
  <si>
    <t>CEMENTOWNIA "WARTA" SPÓŁKA AKCYJNA</t>
  </si>
  <si>
    <t>PRZEMYSŁOWA</t>
  </si>
  <si>
    <t>17</t>
  </si>
  <si>
    <t>98-355</t>
  </si>
  <si>
    <t>TRĘBACZEW</t>
  </si>
  <si>
    <t>PL.MŚ/000000104.FACILITY</t>
  </si>
  <si>
    <t>Górażdże Cement S.A.</t>
  </si>
  <si>
    <t>Górażdże Cement S.A. - Cementowia Górażdże</t>
  </si>
  <si>
    <t>Cementowa</t>
  </si>
  <si>
    <t>47-316</t>
  </si>
  <si>
    <t>Chorula</t>
  </si>
  <si>
    <t>PL.MŚ/000000215.FACILITY</t>
  </si>
  <si>
    <t>CEMEX Polska Sp. z o.o.</t>
  </si>
  <si>
    <t>CEMEX Polska Sp. z o.o - Zakład Cementownia Chełm</t>
  </si>
  <si>
    <t>Fabryczna</t>
  </si>
  <si>
    <t>6</t>
  </si>
  <si>
    <t>22-100</t>
  </si>
  <si>
    <t>Chełm</t>
  </si>
  <si>
    <t>PL.MŚ/000000232.FACILITY</t>
  </si>
  <si>
    <t>Dyckerhoff Polska Sp. z o.o.</t>
  </si>
  <si>
    <t>Zakładowa</t>
  </si>
  <si>
    <t>3</t>
  </si>
  <si>
    <t>26-052</t>
  </si>
  <si>
    <t>Sitkówka-Nowiny</t>
  </si>
  <si>
    <t>3(c)(iii)</t>
  </si>
  <si>
    <t>Installations for the production of cement clinker or lime in other furnaces</t>
  </si>
  <si>
    <t>RO.CAED/104AG0001.FACILITY</t>
  </si>
  <si>
    <t>HOLCIM ROMANIA SA</t>
  </si>
  <si>
    <t>SC HOLCIM ROMANIA SA</t>
  </si>
  <si>
    <t>117805</t>
  </si>
  <si>
    <t>Campulung, Com. Valea Mare Pravat</t>
  </si>
  <si>
    <t>RO.CAED/105CT0001.FACILITY</t>
  </si>
  <si>
    <t>CRH CIMENT (ROMANIA)S.A.</t>
  </si>
  <si>
    <t>CRH CIMENT (ROMANIA)S.A. - PUNCT DE LUCRU MEDGIDIA</t>
  </si>
  <si>
    <t>POPORULUI NR. 1</t>
  </si>
  <si>
    <t>905600</t>
  </si>
  <si>
    <t>MEDGIDIA</t>
  </si>
  <si>
    <t>SE.CAED/10016795.Facility</t>
  </si>
  <si>
    <t>Cementa AB</t>
  </si>
  <si>
    <t>Cementa AB, Slitefabriken</t>
  </si>
  <si>
    <t>Skolgatan 6, Box 102</t>
  </si>
  <si>
    <t>624 48</t>
  </si>
  <si>
    <t>SLITE</t>
  </si>
  <si>
    <t>UK.CAED/EW_EA-16879.FACILITY</t>
  </si>
  <si>
    <t>Breedon Cement Limited</t>
  </si>
  <si>
    <t>Hope Cement Works</t>
  </si>
  <si>
    <t>Pindale Road</t>
  </si>
  <si>
    <t>Hope Works</t>
  </si>
  <si>
    <t>S33 6RP</t>
  </si>
  <si>
    <t>Hope Valley</t>
  </si>
  <si>
    <t>UK.CAED/EW_EA-2302.FACILITY</t>
  </si>
  <si>
    <t>Cemex UK Cement Ltd</t>
  </si>
  <si>
    <t>Rugby Cement Plant</t>
  </si>
  <si>
    <t>Lawford Road</t>
  </si>
  <si>
    <t>CV21 2RY</t>
  </si>
  <si>
    <t>Rugby</t>
  </si>
  <si>
    <t>PL (Poland)</t>
  </si>
  <si>
    <t>SE (Sweden)</t>
  </si>
  <si>
    <t xml:space="preserve">UK </t>
  </si>
  <si>
    <t>period</t>
  </si>
  <si>
    <t>Price</t>
  </si>
  <si>
    <t>CO2 captured (t/year)</t>
  </si>
  <si>
    <t>Cost of CO2 emission</t>
  </si>
  <si>
    <t>Total emission</t>
  </si>
  <si>
    <t>i6j8</t>
  </si>
  <si>
    <t>i11ji</t>
  </si>
  <si>
    <t>i12j2</t>
  </si>
  <si>
    <t>i15j5</t>
  </si>
  <si>
    <t>pipe0</t>
  </si>
  <si>
    <t>emission</t>
  </si>
  <si>
    <t>I to J</t>
  </si>
  <si>
    <t>Pipeline</t>
  </si>
  <si>
    <t>i</t>
  </si>
  <si>
    <t>j</t>
  </si>
  <si>
    <t>6,11,12,15</t>
  </si>
  <si>
    <t>6,11,12,14,15,16</t>
  </si>
  <si>
    <t>i14j2</t>
  </si>
  <si>
    <t>i16j5</t>
  </si>
  <si>
    <t>8,1,2,5,</t>
  </si>
  <si>
    <t>8,1,2,5</t>
  </si>
  <si>
    <t>Total cost with capture</t>
  </si>
  <si>
    <t>Total cost without capture</t>
  </si>
  <si>
    <t>i17j6</t>
  </si>
  <si>
    <t>i13j1</t>
  </si>
  <si>
    <t>6,11,12,13,14,15,16,17</t>
  </si>
  <si>
    <t>8,1,2,5,6</t>
  </si>
  <si>
    <t>i1j4</t>
  </si>
  <si>
    <t>i9j6</t>
  </si>
  <si>
    <t>i18j1</t>
  </si>
  <si>
    <t>i10j6</t>
  </si>
  <si>
    <t>6,11,12,13,14,15,16,17,1,9,10,18</t>
  </si>
  <si>
    <t>8,1,2,5,6,4</t>
  </si>
  <si>
    <t>i2j4</t>
  </si>
  <si>
    <t>i3j4</t>
  </si>
  <si>
    <t>i5j4</t>
  </si>
  <si>
    <t>i7j9</t>
  </si>
  <si>
    <t>i8j7</t>
  </si>
  <si>
    <t>IPCC onshore</t>
  </si>
  <si>
    <t>IPCC offshore</t>
  </si>
  <si>
    <t>20 years</t>
  </si>
  <si>
    <t>prodction capacity (t)</t>
  </si>
  <si>
    <t>kwh</t>
  </si>
  <si>
    <t>dsf</t>
  </si>
  <si>
    <t>50 years onshore</t>
  </si>
  <si>
    <t>50 years ofshore</t>
  </si>
  <si>
    <t>DK (Denmark)</t>
  </si>
  <si>
    <t>30 years</t>
  </si>
  <si>
    <t>based on offshore and onshore</t>
  </si>
  <si>
    <t>e</t>
  </si>
  <si>
    <t>TC</t>
  </si>
  <si>
    <t>RP</t>
  </si>
  <si>
    <t>total</t>
  </si>
  <si>
    <t>percentage</t>
  </si>
  <si>
    <t>i11j2</t>
  </si>
  <si>
    <t>capture 80-1</t>
  </si>
  <si>
    <t>capture 90-1</t>
  </si>
  <si>
    <t>capture 90-2</t>
  </si>
  <si>
    <t>i6j7</t>
  </si>
  <si>
    <t>capture 100-1</t>
  </si>
  <si>
    <t>capture 100-2</t>
  </si>
  <si>
    <t>i12j4</t>
  </si>
  <si>
    <t>capture 130-1</t>
  </si>
  <si>
    <t>capture 130-2</t>
  </si>
  <si>
    <t>i15j6</t>
  </si>
  <si>
    <t>i11j4</t>
  </si>
  <si>
    <t>i14j3</t>
  </si>
  <si>
    <t>capture 150-1</t>
  </si>
  <si>
    <t>capture 150-2</t>
  </si>
  <si>
    <t>i16j6</t>
  </si>
  <si>
    <t>i13j3</t>
  </si>
  <si>
    <t>Carbom Price</t>
  </si>
  <si>
    <t>Total cost of CCS, scenario I</t>
  </si>
  <si>
    <t>Total cost of CCS, scenario II</t>
  </si>
  <si>
    <t>Captured CO2, scenario I</t>
  </si>
  <si>
    <t>Captured CO2, scenario II</t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</si>
  <si>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(Scenario I)</t>
    </r>
  </si>
  <si>
    <r>
      <t>y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(Scenario I)</t>
    </r>
  </si>
  <si>
    <r>
      <t>y</t>
    </r>
    <r>
      <rPr>
        <vertAlign val="subscript"/>
        <sz val="11"/>
        <color theme="1"/>
        <rFont val="Calibri"/>
        <family val="2"/>
        <scheme val="minor"/>
      </rPr>
      <t>j</t>
    </r>
    <r>
      <rPr>
        <sz val="11"/>
        <color theme="1"/>
        <rFont val="Calibri"/>
        <family val="2"/>
        <scheme val="minor"/>
      </rPr>
      <t xml:space="preserve"> (Scenario II)</t>
    </r>
  </si>
  <si>
    <r>
      <t>u</t>
    </r>
    <r>
      <rPr>
        <vertAlign val="subscript"/>
        <sz val="11"/>
        <color theme="1"/>
        <rFont val="Calibri"/>
        <family val="2"/>
        <scheme val="minor"/>
      </rPr>
      <t xml:space="preserve">i </t>
    </r>
    <r>
      <rPr>
        <sz val="11"/>
        <color theme="1"/>
        <rFont val="Calibri"/>
        <family val="2"/>
        <scheme val="minor"/>
      </rPr>
      <t>(Scenario II)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</si>
</sst>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_-;\-* #,##0_-;_-* &quot;-&quot;??_-;_-@_-"/>
    <numFmt numFmtId="165" formatCode="#,##0.00000"/>
    <numFmt numFmtId="166" formatCode="_-* #,##0.00000\ _€_-;\-* #,##0.00000\ _€_-;_-* &quot;-&quot;?????\ _€_-;_-@_-"/>
    <numFmt numFmtId="167" formatCode="_-* #,##0.000_-;\-* #,##0.000_-;_-* &quot;-&quot;??_-;_-@_-"/>
    <numFmt numFmtId="168" formatCode="_-* #,##0.00000_-;\-* #,##0.00000_-;_-* &quot;-&quot;??_-;_-@_-"/>
    <numFmt numFmtId="169" formatCode="_-* #,##0.000\ _€_-;\-* #,##0.000\ _€_-;_-* &quot;-&quot;???\ _€_-;_-@_-"/>
    <numFmt numFmtId="170" formatCode="_-* #,##0.00000000_-;\-* #,##0.00000000_-;_-* &quot;-&quot;??_-;_-@_-"/>
    <numFmt numFmtId="171" formatCode="_-* #,##0.000000000_-;\-* #,##0.000000000_-;_-* &quot;-&quot;??_-;_-@_-"/>
    <numFmt numFmtId="172" formatCode="_-* #,##0.0_-;\-* #,##0.0_-;_-* &quot;-&quot;??_-;_-@_-"/>
    <numFmt numFmtId="173" formatCode="0.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202124"/>
      <name val="Arial"/>
      <family val="2"/>
    </font>
    <font>
      <vertAlign val="sub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2" fillId="0" borderId="0" xfId="0" applyNumberFormat="1" applyFont="1"/>
    <xf numFmtId="0" fontId="2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164" fontId="1" fillId="0" borderId="0" xfId="1" applyNumberFormat="1" applyFont="1"/>
    <xf numFmtId="43" fontId="0" fillId="0" borderId="0" xfId="1" applyFont="1"/>
    <xf numFmtId="0" fontId="0" fillId="2" borderId="0" xfId="0" applyFill="1"/>
    <xf numFmtId="0" fontId="0" fillId="3" borderId="0" xfId="0" applyFill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4" fontId="0" fillId="0" borderId="0" xfId="1" applyNumberFormat="1" applyFont="1" applyAlignment="1"/>
    <xf numFmtId="167" fontId="0" fillId="0" borderId="0" xfId="1" applyNumberFormat="1" applyFont="1"/>
    <xf numFmtId="167" fontId="0" fillId="0" borderId="0" xfId="0" applyNumberFormat="1"/>
    <xf numFmtId="164" fontId="6" fillId="0" borderId="0" xfId="0" applyNumberFormat="1" applyFont="1"/>
    <xf numFmtId="164" fontId="0" fillId="0" borderId="0" xfId="1" applyNumberFormat="1" applyFont="1" applyAlignment="1">
      <alignment horizontal="left" indent="2"/>
    </xf>
    <xf numFmtId="171" fontId="0" fillId="0" borderId="0" xfId="1" applyNumberFormat="1" applyFont="1"/>
    <xf numFmtId="1" fontId="2" fillId="0" borderId="0" xfId="0" applyNumberFormat="1" applyFont="1"/>
    <xf numFmtId="43" fontId="1" fillId="0" borderId="0" xfId="1" applyFont="1"/>
    <xf numFmtId="169" fontId="0" fillId="0" borderId="0" xfId="0" applyNumberFormat="1"/>
    <xf numFmtId="168" fontId="1" fillId="0" borderId="0" xfId="1" applyNumberFormat="1" applyFont="1"/>
    <xf numFmtId="168" fontId="0" fillId="0" borderId="0" xfId="0" applyNumberFormat="1"/>
    <xf numFmtId="170" fontId="2" fillId="0" borderId="0" xfId="1" applyNumberFormat="1" applyFont="1"/>
    <xf numFmtId="173" fontId="0" fillId="0" borderId="0" xfId="0" applyNumberFormat="1"/>
    <xf numFmtId="3" fontId="0" fillId="0" borderId="0" xfId="0" applyNumberFormat="1"/>
    <xf numFmtId="3" fontId="7" fillId="0" borderId="0" xfId="0" applyNumberFormat="1" applyFont="1"/>
    <xf numFmtId="172" fontId="0" fillId="0" borderId="0" xfId="1" applyNumberFormat="1" applyFont="1"/>
    <xf numFmtId="2" fontId="4" fillId="0" borderId="0" xfId="0" applyNumberFormat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'result final'!$C$16</c:f>
              <c:strCache>
                <c:ptCount val="1"/>
                <c:pt idx="0">
                  <c:v>Captured CO2, scenario 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'result final'!$B$17:$B$23</c:f>
              <c:numCache>
                <c:formatCode>General</c:formatCode>
                <c:ptCount val="7"/>
                <c:pt idx="0">
                  <c:v>50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130</c:v>
                </c:pt>
                <c:pt idx="6">
                  <c:v>150</c:v>
                </c:pt>
              </c:numCache>
            </c:numRef>
          </c:xVal>
          <c:yVal>
            <c:numRef>
              <c:f>'result final'!$C$17:$C$23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 formatCode="_-* #,##0_-;\-* #,##0_-;_-* &quot;-&quot;??_-;_-@_-">
                  <c:v>7500000</c:v>
                </c:pt>
                <c:pt idx="3" formatCode="_-* #,##0_-;\-* #,##0_-;_-* &quot;-&quot;??_-;_-@_-">
                  <c:v>8443000</c:v>
                </c:pt>
                <c:pt idx="4" formatCode="_-* #,##0_-;\-* #,##0_-;_-* &quot;-&quot;??_-;_-@_-">
                  <c:v>10643000</c:v>
                </c:pt>
                <c:pt idx="5" formatCode="_-* #,##0_-;\-* #,##0_-;_-* &quot;-&quot;??_-;_-@_-">
                  <c:v>14623000</c:v>
                </c:pt>
                <c:pt idx="6" formatCode="_-* #,##0_-;\-* #,##0_-;_-* &quot;-&quot;??_-;_-@_-">
                  <c:v>20621000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1E-46D5-8B7D-646D5AD00907}"/>
            </c:ext>
          </c:extLst>
        </c:ser>
        <c:ser>
          <c:idx val="1"/>
          <c:order val="1"/>
          <c:tx>
            <c:strRef>
              <c:f>'result final'!$D$16</c:f>
              <c:strCache>
                <c:ptCount val="1"/>
                <c:pt idx="0">
                  <c:v>Captured CO2, scenario II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'result final'!$B$17:$B$23</c:f>
              <c:numCache>
                <c:formatCode>General</c:formatCode>
                <c:ptCount val="7"/>
                <c:pt idx="0">
                  <c:v>50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130</c:v>
                </c:pt>
                <c:pt idx="6">
                  <c:v>150</c:v>
                </c:pt>
              </c:numCache>
            </c:numRef>
          </c:xVal>
          <c:yVal>
            <c:numRef>
              <c:f>'result final'!$D$17:$D$23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_-* #,##0_-;\-* #,##0_-;_-* &quot;-&quot;??_-;_-@_-">
                  <c:v>990000</c:v>
                </c:pt>
                <c:pt idx="4" formatCode="_-* #,##0_-;\-* #,##0_-;_-* &quot;-&quot;??_-;_-@_-">
                  <c:v>3870000</c:v>
                </c:pt>
                <c:pt idx="5" formatCode="_-* #,##0_-;\-* #,##0_-;_-* &quot;-&quot;??_-;_-@_-">
                  <c:v>8690000</c:v>
                </c:pt>
                <c:pt idx="6" formatCode="_-* #,##0_-;\-* #,##0_-;_-* &quot;-&quot;??_-;_-@_-">
                  <c:v>14403000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1E-46D5-8B7D-646D5AD00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9114255"/>
        <c:axId val="1669112591"/>
      </c:scatterChart>
      <c:valAx>
        <c:axId val="16691142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Carbon Price </a:t>
                </a:r>
                <a:r>
                  <a:rPr lang="en-US" sz="1000" b="0" i="0" u="none" strike="noStrike" baseline="0">
                    <a:effectLst/>
                  </a:rPr>
                  <a:t>(</a:t>
                </a:r>
                <a:r>
                  <a:rPr lang="es-CL" sz="1000" b="0" i="0" u="none" strike="noStrike" baseline="0">
                    <a:effectLst/>
                  </a:rPr>
                  <a:t>€/tCO</a:t>
                </a:r>
                <a:r>
                  <a:rPr lang="es-CL" sz="1000" b="0" i="0" u="none" strike="noStrike" baseline="-25000">
                    <a:effectLst/>
                  </a:rPr>
                  <a:t>2</a:t>
                </a:r>
                <a:r>
                  <a:rPr lang="es-CL" sz="1000" b="0" i="0" u="none" strike="noStrike" baseline="0">
                    <a:effectLst/>
                  </a:rPr>
                  <a:t>)</a:t>
                </a:r>
                <a:r>
                  <a:rPr lang="es-CL"/>
                  <a:t>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69112591"/>
        <c:crosses val="autoZero"/>
        <c:crossBetween val="midCat"/>
      </c:valAx>
      <c:valAx>
        <c:axId val="16691125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Captured CO</a:t>
                </a:r>
                <a:r>
                  <a:rPr lang="es-CL" baseline="-25000"/>
                  <a:t>2</a:t>
                </a:r>
                <a:r>
                  <a:rPr lang="es-CL" baseline="30000"/>
                  <a:t> </a:t>
                </a:r>
                <a:r>
                  <a:rPr lang="es-CL" baseline="0"/>
                  <a:t>(t/year)</a:t>
                </a:r>
                <a:endParaRPr lang="es-CL" baseline="30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66911425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'result final'!$E$16</c:f>
              <c:strCache>
                <c:ptCount val="1"/>
                <c:pt idx="0">
                  <c:v>Total cost of CCS, scenario 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'result final'!$B$17:$B$23</c:f>
              <c:numCache>
                <c:formatCode>General</c:formatCode>
                <c:ptCount val="7"/>
                <c:pt idx="0">
                  <c:v>50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130</c:v>
                </c:pt>
                <c:pt idx="6">
                  <c:v>150</c:v>
                </c:pt>
              </c:numCache>
            </c:numRef>
          </c:xVal>
          <c:yVal>
            <c:numRef>
              <c:f>'result final'!$E$17:$E$23</c:f>
              <c:numCache>
                <c:formatCode>_-* #,##0_-;\-* #,##0_-;_-* "-"??_-;_-@_-</c:formatCode>
                <c:ptCount val="7"/>
                <c:pt idx="0">
                  <c:v>1368539350</c:v>
                </c:pt>
                <c:pt idx="1">
                  <c:v>1915955090</c:v>
                </c:pt>
                <c:pt idx="2">
                  <c:v>2103661800</c:v>
                </c:pt>
                <c:pt idx="3">
                  <c:v>2295838700</c:v>
                </c:pt>
                <c:pt idx="4">
                  <c:v>2471941800</c:v>
                </c:pt>
                <c:pt idx="5">
                  <c:v>2951233000</c:v>
                </c:pt>
                <c:pt idx="6">
                  <c:v>3153464800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C3-4510-984E-0FAACB372529}"/>
            </c:ext>
          </c:extLst>
        </c:ser>
        <c:ser>
          <c:idx val="1"/>
          <c:order val="1"/>
          <c:tx>
            <c:strRef>
              <c:f>'result final'!$F$16</c:f>
              <c:strCache>
                <c:ptCount val="1"/>
                <c:pt idx="0">
                  <c:v>Total cost of CCS, scenario II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'result final'!$B$17:$B$23</c:f>
              <c:numCache>
                <c:formatCode>General</c:formatCode>
                <c:ptCount val="7"/>
                <c:pt idx="0">
                  <c:v>50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130</c:v>
                </c:pt>
                <c:pt idx="6">
                  <c:v>150</c:v>
                </c:pt>
              </c:numCache>
            </c:numRef>
          </c:xVal>
          <c:yVal>
            <c:numRef>
              <c:f>'result final'!$F$17:$F$23</c:f>
              <c:numCache>
                <c:formatCode>_-* #,##0_-;\-* #,##0_-;_-* "-"??_-;_-@_-</c:formatCode>
                <c:ptCount val="7"/>
                <c:pt idx="0">
                  <c:v>1368539350</c:v>
                </c:pt>
                <c:pt idx="1">
                  <c:v>1915955090</c:v>
                </c:pt>
                <c:pt idx="2">
                  <c:v>2189662960</c:v>
                </c:pt>
                <c:pt idx="3">
                  <c:v>2451655700</c:v>
                </c:pt>
                <c:pt idx="4">
                  <c:v>2702129000</c:v>
                </c:pt>
                <c:pt idx="5">
                  <c:v>3255506600</c:v>
                </c:pt>
                <c:pt idx="6">
                  <c:v>3453145400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C3-4510-984E-0FAACB372529}"/>
            </c:ext>
          </c:extLst>
        </c:ser>
        <c:ser>
          <c:idx val="2"/>
          <c:order val="2"/>
          <c:tx>
            <c:strRef>
              <c:f>'result final'!$G$16</c:f>
              <c:strCache>
                <c:ptCount val="1"/>
                <c:pt idx="0">
                  <c:v>Total cost without capture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'result final'!$B$17:$B$23</c:f>
              <c:numCache>
                <c:formatCode>General</c:formatCode>
                <c:ptCount val="7"/>
                <c:pt idx="0">
                  <c:v>50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130</c:v>
                </c:pt>
                <c:pt idx="6">
                  <c:v>150</c:v>
                </c:pt>
              </c:numCache>
            </c:numRef>
          </c:xVal>
          <c:yVal>
            <c:numRef>
              <c:f>'result final'!$G$17:$G$23</c:f>
              <c:numCache>
                <c:formatCode>_-* #,##0_-;\-* #,##0_-;_-* "-"??_-;_-@_-</c:formatCode>
                <c:ptCount val="7"/>
                <c:pt idx="0">
                  <c:v>1368539350</c:v>
                </c:pt>
                <c:pt idx="1">
                  <c:v>1915955090</c:v>
                </c:pt>
                <c:pt idx="2">
                  <c:v>2189662960</c:v>
                </c:pt>
                <c:pt idx="3">
                  <c:v>2463370830</c:v>
                </c:pt>
                <c:pt idx="4">
                  <c:v>2737078700</c:v>
                </c:pt>
                <c:pt idx="5">
                  <c:v>3558202310</c:v>
                </c:pt>
                <c:pt idx="6">
                  <c:v>4105618050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C3-4510-984E-0FAACB372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3002127"/>
        <c:axId val="1552999631"/>
      </c:scatterChart>
      <c:valAx>
        <c:axId val="1553002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 b="0" i="0" baseline="0">
                    <a:effectLst/>
                  </a:rPr>
                  <a:t>Carbon Price </a:t>
                </a:r>
                <a:r>
                  <a:rPr lang="en-US" sz="1000" b="0" i="0" baseline="0">
                    <a:effectLst/>
                  </a:rPr>
                  <a:t>(</a:t>
                </a:r>
                <a:r>
                  <a:rPr lang="es-CL" sz="1000" b="0" i="0" baseline="0">
                    <a:effectLst/>
                  </a:rPr>
                  <a:t>€/tCO</a:t>
                </a:r>
                <a:r>
                  <a:rPr lang="es-CL" sz="1000" b="0" i="0" baseline="-25000">
                    <a:effectLst/>
                  </a:rPr>
                  <a:t>2</a:t>
                </a:r>
                <a:r>
                  <a:rPr lang="es-CL" sz="1000" b="0" i="0" baseline="0">
                    <a:effectLst/>
                  </a:rPr>
                  <a:t>) </a:t>
                </a:r>
                <a:endParaRPr lang="es-CL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552999631"/>
        <c:crosses val="autoZero"/>
        <c:crossBetween val="midCat"/>
      </c:valAx>
      <c:valAx>
        <c:axId val="1552999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 sz="1000"/>
                  <a:t>Cost</a:t>
                </a:r>
                <a:r>
                  <a:rPr lang="es-CL" sz="1000" baseline="0"/>
                  <a:t> (</a:t>
                </a:r>
                <a:r>
                  <a:rPr lang="es-CL" sz="1000" b="0" i="0" baseline="0">
                    <a:effectLst/>
                  </a:rPr>
                  <a:t>€)</a:t>
                </a:r>
                <a:endParaRPr lang="es-CL" sz="10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55300212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'result final'!$H$16</c:f>
              <c:strCache>
                <c:ptCount val="1"/>
                <c:pt idx="0">
                  <c:v>ui (Scenario I)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'result final'!$B$17:$B$23</c:f>
              <c:numCache>
                <c:formatCode>General</c:formatCode>
                <c:ptCount val="7"/>
                <c:pt idx="0">
                  <c:v>50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130</c:v>
                </c:pt>
                <c:pt idx="6">
                  <c:v>150</c:v>
                </c:pt>
              </c:numCache>
            </c:numRef>
          </c:xVal>
          <c:yVal>
            <c:numRef>
              <c:f>'result final'!$H$17:$H$23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11</c:v>
                </c:pt>
                <c:pt idx="6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1F-48DF-82BC-86FEFA91F92F}"/>
            </c:ext>
          </c:extLst>
        </c:ser>
        <c:ser>
          <c:idx val="1"/>
          <c:order val="1"/>
          <c:tx>
            <c:strRef>
              <c:f>'result final'!$I$16</c:f>
              <c:strCache>
                <c:ptCount val="1"/>
                <c:pt idx="0">
                  <c:v>yj (Scenario I)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'result final'!$B$17:$B$23</c:f>
              <c:numCache>
                <c:formatCode>General</c:formatCode>
                <c:ptCount val="7"/>
                <c:pt idx="0">
                  <c:v>50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130</c:v>
                </c:pt>
                <c:pt idx="6">
                  <c:v>150</c:v>
                </c:pt>
              </c:numCache>
            </c:numRef>
          </c:xVal>
          <c:yVal>
            <c:numRef>
              <c:f>'result final'!$I$17:$I$23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1F-48DF-82BC-86FEFA91F92F}"/>
            </c:ext>
          </c:extLst>
        </c:ser>
        <c:ser>
          <c:idx val="2"/>
          <c:order val="2"/>
          <c:tx>
            <c:strRef>
              <c:f>'result final'!$J$16</c:f>
              <c:strCache>
                <c:ptCount val="1"/>
                <c:pt idx="0">
                  <c:v>ui (Scenario II)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'result final'!$B$17:$B$23</c:f>
              <c:numCache>
                <c:formatCode>General</c:formatCode>
                <c:ptCount val="7"/>
                <c:pt idx="0">
                  <c:v>50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130</c:v>
                </c:pt>
                <c:pt idx="6">
                  <c:v>150</c:v>
                </c:pt>
              </c:numCache>
            </c:numRef>
          </c:xVal>
          <c:yVal>
            <c:numRef>
              <c:f>'result final'!$J$17:$J$23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1F-48DF-82BC-86FEFA91F92F}"/>
            </c:ext>
          </c:extLst>
        </c:ser>
        <c:ser>
          <c:idx val="3"/>
          <c:order val="3"/>
          <c:tx>
            <c:strRef>
              <c:f>'result final'!$K$16</c:f>
              <c:strCache>
                <c:ptCount val="1"/>
                <c:pt idx="0">
                  <c:v>yj (Scenario II)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'result final'!$B$17:$B$23</c:f>
              <c:numCache>
                <c:formatCode>General</c:formatCode>
                <c:ptCount val="7"/>
                <c:pt idx="0">
                  <c:v>50</c:v>
                </c:pt>
                <c:pt idx="1">
                  <c:v>70</c:v>
                </c:pt>
                <c:pt idx="2">
                  <c:v>80</c:v>
                </c:pt>
                <c:pt idx="3">
                  <c:v>90</c:v>
                </c:pt>
                <c:pt idx="4">
                  <c:v>100</c:v>
                </c:pt>
                <c:pt idx="5">
                  <c:v>130</c:v>
                </c:pt>
                <c:pt idx="6">
                  <c:v>150</c:v>
                </c:pt>
              </c:numCache>
            </c:numRef>
          </c:xVal>
          <c:yVal>
            <c:numRef>
              <c:f>'result final'!$K$17:$K$23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1F-48DF-82BC-86FEFA91F9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1921407"/>
        <c:axId val="1771922239"/>
      </c:scatterChart>
      <c:valAx>
        <c:axId val="1771921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Carbon Price </a:t>
                </a:r>
                <a:r>
                  <a:rPr lang="en-US" sz="1000" b="0" i="0" u="none" strike="noStrike" baseline="0">
                    <a:effectLst/>
                  </a:rPr>
                  <a:t>(</a:t>
                </a:r>
                <a:r>
                  <a:rPr lang="es-CL" sz="1000" b="0" i="0" u="none" strike="noStrike" baseline="0">
                    <a:effectLst/>
                  </a:rPr>
                  <a:t>€/tCO</a:t>
                </a:r>
                <a:r>
                  <a:rPr lang="es-CL" sz="1000" b="0" i="0" u="none" strike="noStrike" baseline="-25000">
                    <a:effectLst/>
                  </a:rPr>
                  <a:t>2</a:t>
                </a:r>
                <a:r>
                  <a:rPr lang="es-CL" sz="1000" b="0" i="0" u="none" strike="noStrike" baseline="0">
                    <a:effectLst/>
                  </a:rPr>
                  <a:t>) </a:t>
                </a:r>
                <a:endParaRPr lang="es-CL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1922239"/>
        <c:crosses val="autoZero"/>
        <c:crossBetween val="midCat"/>
      </c:valAx>
      <c:valAx>
        <c:axId val="17719222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Opened sources (i &amp;j)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1771921407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182886</xdr:colOff>
      <xdr:row>25</xdr:row>
      <xdr:rowOff>118110</xdr:rowOff>
    </xdr:from>
    <xdr:to>
      <xdr:col>4</xdr:col>
      <xdr:colOff>1203966</xdr:colOff>
      <xdr:row>40</xdr:row>
      <xdr:rowOff>118110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3B9EE62-AA54-DBC8-EE39-38BE52C0A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300990</xdr:colOff>
      <xdr:row>25</xdr:row>
      <xdr:rowOff>110490</xdr:rowOff>
    </xdr:from>
    <xdr:to>
      <xdr:col>8</xdr:col>
      <xdr:colOff>910590</xdr:colOff>
      <xdr:row>40</xdr:row>
      <xdr:rowOff>110490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E5386D-6C60-7BEF-C0C8-FCE7858361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300990</xdr:colOff>
      <xdr:row>25</xdr:row>
      <xdr:rowOff>3810</xdr:rowOff>
    </xdr:from>
    <xdr:to>
      <xdr:col>16</xdr:col>
      <xdr:colOff>567690</xdr:colOff>
      <xdr:row>40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7B8ABFA-C073-708F-48AC-ECC0010AF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C1E06-072E-4D68-ADF1-25301FE272AB}">
  <dimension ref="A1:L23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H17" sqref="H17"/>
    </sheetView>
  </sheetViews>
  <sheetFormatPr defaultRowHeight="14.4" x14ac:dyDescent="0.3"/>
  <cols>
    <col min="2" max="2" width="24.77734375" bestFit="1" customWidth="1"/>
    <col min="3" max="3" width="24.77734375" customWidth="1"/>
    <col min="5" max="5" width="18.44140625" customWidth="1"/>
  </cols>
  <sheetData>
    <row r="1" spans="1:12" x14ac:dyDescent="0.3">
      <c r="B1" t="s">
        <v>692</v>
      </c>
      <c r="D1" t="s">
        <v>577</v>
      </c>
      <c r="E1" t="s">
        <v>578</v>
      </c>
      <c r="F1" t="s">
        <v>579</v>
      </c>
      <c r="G1" t="s">
        <v>580</v>
      </c>
      <c r="H1" t="s">
        <v>581</v>
      </c>
      <c r="I1" t="s">
        <v>582</v>
      </c>
      <c r="J1" t="s">
        <v>583</v>
      </c>
      <c r="K1" t="s">
        <v>584</v>
      </c>
      <c r="L1" t="s">
        <v>585</v>
      </c>
    </row>
    <row r="2" spans="1:12" x14ac:dyDescent="0.3">
      <c r="D2" t="s">
        <v>822</v>
      </c>
      <c r="E2" t="s">
        <v>834</v>
      </c>
      <c r="F2" t="s">
        <v>821</v>
      </c>
      <c r="G2" t="s">
        <v>837</v>
      </c>
      <c r="H2" t="s">
        <v>827</v>
      </c>
      <c r="I2" t="s">
        <v>841</v>
      </c>
      <c r="J2" t="s">
        <v>828</v>
      </c>
      <c r="K2" t="s">
        <v>842</v>
      </c>
      <c r="L2" t="s">
        <v>832</v>
      </c>
    </row>
    <row r="3" spans="1:12" x14ac:dyDescent="0.3">
      <c r="A3" t="s">
        <v>600</v>
      </c>
      <c r="B3" s="4" t="s">
        <v>28</v>
      </c>
      <c r="C3" t="s">
        <v>722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 s="12">
        <v>320</v>
      </c>
    </row>
    <row r="4" spans="1:12" x14ac:dyDescent="0.3">
      <c r="A4" t="s">
        <v>601</v>
      </c>
      <c r="B4" s="4" t="s">
        <v>35</v>
      </c>
      <c r="C4" t="s">
        <v>722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 s="12">
        <v>300</v>
      </c>
    </row>
    <row r="5" spans="1:12" x14ac:dyDescent="0.3">
      <c r="A5" t="s">
        <v>602</v>
      </c>
      <c r="B5" s="4" t="s">
        <v>42</v>
      </c>
      <c r="C5" t="s">
        <v>722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12">
        <v>320</v>
      </c>
    </row>
    <row r="6" spans="1:12" x14ac:dyDescent="0.3">
      <c r="A6" t="s">
        <v>603</v>
      </c>
      <c r="B6" s="4" t="s">
        <v>104</v>
      </c>
      <c r="C6" t="s">
        <v>725</v>
      </c>
      <c r="D6" s="12">
        <v>400</v>
      </c>
      <c r="E6" s="12">
        <v>100</v>
      </c>
      <c r="F6" s="12">
        <v>300</v>
      </c>
      <c r="G6" s="12">
        <v>350</v>
      </c>
      <c r="H6" s="12">
        <v>300</v>
      </c>
      <c r="I6" s="12">
        <v>300</v>
      </c>
      <c r="J6" s="12">
        <v>2500</v>
      </c>
      <c r="K6" s="12">
        <v>2480</v>
      </c>
      <c r="L6" s="12">
        <v>1900</v>
      </c>
    </row>
    <row r="7" spans="1:12" x14ac:dyDescent="0.3">
      <c r="A7" t="s">
        <v>604</v>
      </c>
      <c r="B7" s="4" t="s">
        <v>140</v>
      </c>
      <c r="C7" t="s">
        <v>729</v>
      </c>
      <c r="D7" s="12">
        <v>420</v>
      </c>
      <c r="E7" s="12">
        <v>450</v>
      </c>
      <c r="F7" s="12">
        <v>495</v>
      </c>
      <c r="G7" s="12">
        <v>350</v>
      </c>
      <c r="H7" s="12">
        <v>460</v>
      </c>
      <c r="I7" s="12">
        <v>400</v>
      </c>
      <c r="J7" s="12">
        <v>240</v>
      </c>
      <c r="K7" s="12">
        <v>300</v>
      </c>
      <c r="L7" s="12">
        <v>250</v>
      </c>
    </row>
    <row r="8" spans="1:12" x14ac:dyDescent="0.3">
      <c r="A8" t="s">
        <v>605</v>
      </c>
      <c r="B8" s="4" t="s">
        <v>203</v>
      </c>
      <c r="C8" t="s">
        <v>732</v>
      </c>
      <c r="D8">
        <v>0</v>
      </c>
      <c r="E8">
        <v>0</v>
      </c>
      <c r="F8">
        <v>0</v>
      </c>
      <c r="G8">
        <v>0</v>
      </c>
      <c r="H8" s="12">
        <v>1000</v>
      </c>
      <c r="I8" s="12">
        <v>780</v>
      </c>
      <c r="J8">
        <v>0</v>
      </c>
      <c r="K8">
        <v>0</v>
      </c>
      <c r="L8" s="12">
        <v>700</v>
      </c>
    </row>
    <row r="9" spans="1:12" x14ac:dyDescent="0.3">
      <c r="A9" t="s">
        <v>606</v>
      </c>
      <c r="B9" s="4" t="s">
        <v>361</v>
      </c>
      <c r="C9" t="s">
        <v>736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12">
        <v>300</v>
      </c>
    </row>
    <row r="10" spans="1:12" x14ac:dyDescent="0.3">
      <c r="A10" t="s">
        <v>607</v>
      </c>
      <c r="B10" s="4" t="s">
        <v>387</v>
      </c>
      <c r="C10" t="s">
        <v>736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 s="12">
        <v>345</v>
      </c>
      <c r="K10" s="12">
        <v>320</v>
      </c>
      <c r="L10" s="12">
        <v>400</v>
      </c>
    </row>
    <row r="11" spans="1:12" x14ac:dyDescent="0.3">
      <c r="A11" t="s">
        <v>608</v>
      </c>
      <c r="B11" s="4" t="s">
        <v>865</v>
      </c>
      <c r="C11" t="s">
        <v>864</v>
      </c>
      <c r="D11" s="12">
        <v>400</v>
      </c>
      <c r="E11" s="12">
        <v>500</v>
      </c>
      <c r="F11" s="12">
        <v>490</v>
      </c>
      <c r="G11">
        <v>0</v>
      </c>
      <c r="H11" s="12">
        <v>250</v>
      </c>
      <c r="I11" s="12">
        <v>250</v>
      </c>
      <c r="J11" s="12">
        <v>1600</v>
      </c>
      <c r="K11" s="12">
        <v>1540</v>
      </c>
      <c r="L11" s="12">
        <v>950</v>
      </c>
    </row>
    <row r="12" spans="1:12" x14ac:dyDescent="0.3">
      <c r="A12" t="s">
        <v>609</v>
      </c>
      <c r="B12" s="4" t="s">
        <v>871</v>
      </c>
      <c r="C12" t="s">
        <v>864</v>
      </c>
      <c r="D12">
        <v>0</v>
      </c>
      <c r="E12">
        <v>0</v>
      </c>
      <c r="F12">
        <v>0</v>
      </c>
      <c r="G12">
        <v>0</v>
      </c>
      <c r="H12" s="12">
        <v>100</v>
      </c>
      <c r="I12" s="12">
        <v>100</v>
      </c>
      <c r="J12" s="12">
        <v>1165</v>
      </c>
      <c r="K12" s="12">
        <v>1350</v>
      </c>
      <c r="L12" s="12">
        <v>920</v>
      </c>
    </row>
    <row r="13" spans="1:12" x14ac:dyDescent="0.3">
      <c r="A13" t="s">
        <v>610</v>
      </c>
      <c r="B13" s="4" t="s">
        <v>877</v>
      </c>
      <c r="C13" t="s">
        <v>929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12">
        <v>340</v>
      </c>
    </row>
    <row r="14" spans="1:12" x14ac:dyDescent="0.3">
      <c r="A14" t="s">
        <v>611</v>
      </c>
      <c r="B14" s="4" t="s">
        <v>883</v>
      </c>
      <c r="C14" t="s">
        <v>929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 s="12">
        <v>320</v>
      </c>
    </row>
    <row r="15" spans="1:12" x14ac:dyDescent="0.3">
      <c r="A15" t="s">
        <v>612</v>
      </c>
      <c r="B15" s="4" t="s">
        <v>890</v>
      </c>
      <c r="C15" t="s">
        <v>929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12">
        <v>380</v>
      </c>
    </row>
    <row r="16" spans="1:12" x14ac:dyDescent="0.3">
      <c r="A16" t="s">
        <v>613</v>
      </c>
      <c r="B16" s="4" t="s">
        <v>896</v>
      </c>
      <c r="C16" t="s">
        <v>929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 s="12">
        <v>390</v>
      </c>
    </row>
    <row r="17" spans="1:12" x14ac:dyDescent="0.3">
      <c r="A17" t="s">
        <v>614</v>
      </c>
      <c r="B17" s="4" t="s">
        <v>903</v>
      </c>
      <c r="C17" t="s">
        <v>742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 s="12">
        <v>800</v>
      </c>
      <c r="L17" s="12">
        <v>500</v>
      </c>
    </row>
    <row r="18" spans="1:12" x14ac:dyDescent="0.3">
      <c r="A18" t="s">
        <v>615</v>
      </c>
      <c r="B18" s="4" t="s">
        <v>909</v>
      </c>
      <c r="C18" t="s">
        <v>742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 s="12">
        <v>740</v>
      </c>
      <c r="L18" s="12">
        <v>450</v>
      </c>
    </row>
    <row r="19" spans="1:12" x14ac:dyDescent="0.3">
      <c r="A19" t="s">
        <v>616</v>
      </c>
      <c r="B19" s="4" t="s">
        <v>504</v>
      </c>
      <c r="C19" t="s">
        <v>742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300</v>
      </c>
      <c r="L19" s="12">
        <v>400</v>
      </c>
    </row>
    <row r="20" spans="1:12" x14ac:dyDescent="0.3">
      <c r="A20" t="s">
        <v>617</v>
      </c>
      <c r="B20" s="4" t="s">
        <v>915</v>
      </c>
      <c r="C20" t="s">
        <v>930</v>
      </c>
      <c r="D20" s="12">
        <v>400</v>
      </c>
      <c r="E20" s="12">
        <v>370</v>
      </c>
      <c r="F20" s="12">
        <v>380</v>
      </c>
      <c r="G20" s="12">
        <v>350</v>
      </c>
      <c r="H20" s="12">
        <v>300</v>
      </c>
      <c r="I20" s="12">
        <v>335</v>
      </c>
      <c r="J20" s="12">
        <v>450</v>
      </c>
      <c r="K20" s="12">
        <v>450</v>
      </c>
      <c r="L20" s="12">
        <v>300</v>
      </c>
    </row>
    <row r="21" spans="1:12" x14ac:dyDescent="0.3">
      <c r="A21" t="s">
        <v>618</v>
      </c>
      <c r="B21" s="4" t="s">
        <v>922</v>
      </c>
      <c r="C21" t="s">
        <v>931</v>
      </c>
      <c r="D21" s="12">
        <v>550</v>
      </c>
      <c r="E21" s="12">
        <v>300</v>
      </c>
      <c r="F21" s="12">
        <v>300</v>
      </c>
      <c r="G21" s="12">
        <v>400</v>
      </c>
      <c r="H21" s="12">
        <v>300</v>
      </c>
      <c r="I21" s="12">
        <v>200</v>
      </c>
      <c r="J21" s="12">
        <v>600</v>
      </c>
      <c r="K21" s="12">
        <v>660</v>
      </c>
      <c r="L21" s="12">
        <v>400</v>
      </c>
    </row>
    <row r="22" spans="1:12" x14ac:dyDescent="0.3">
      <c r="A22" t="s">
        <v>619</v>
      </c>
      <c r="B22" s="4" t="s">
        <v>928</v>
      </c>
      <c r="C22" t="s">
        <v>931</v>
      </c>
      <c r="D22" s="12">
        <v>300</v>
      </c>
      <c r="E22" s="12">
        <v>200</v>
      </c>
      <c r="F22" s="12">
        <v>1410</v>
      </c>
      <c r="G22" s="12">
        <v>200</v>
      </c>
      <c r="H22" s="12">
        <v>200</v>
      </c>
      <c r="I22" s="12">
        <v>160</v>
      </c>
      <c r="J22" s="12">
        <v>600</v>
      </c>
      <c r="K22" s="12">
        <v>800</v>
      </c>
      <c r="L22" s="12">
        <v>400</v>
      </c>
    </row>
    <row r="23" spans="1:12" x14ac:dyDescent="0.3">
      <c r="A23" t="s">
        <v>620</v>
      </c>
      <c r="B23" s="4" t="s">
        <v>482</v>
      </c>
      <c r="C23" t="s">
        <v>740</v>
      </c>
      <c r="D23" s="12">
        <v>850</v>
      </c>
      <c r="E23" s="12">
        <v>500</v>
      </c>
      <c r="F23" s="12">
        <v>570</v>
      </c>
      <c r="G23" s="12">
        <v>600</v>
      </c>
      <c r="H23" s="12">
        <v>435</v>
      </c>
      <c r="I23" s="12">
        <v>380</v>
      </c>
      <c r="J23" s="12">
        <v>1000</v>
      </c>
      <c r="K23" s="12">
        <v>1100</v>
      </c>
      <c r="L23" s="12">
        <v>710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F64A1-F894-43C2-96E9-AB579919829F}">
  <dimension ref="A1:AA22"/>
  <sheetViews>
    <sheetView zoomScale="85" zoomScaleNormal="85" workbookViewId="0">
      <selection activeCell="M1" sqref="M1"/>
    </sheetView>
  </sheetViews>
  <sheetFormatPr defaultRowHeight="14.4" x14ac:dyDescent="0.3"/>
  <cols>
    <col min="3" max="3" width="22.33203125" style="9" bestFit="1" customWidth="1"/>
    <col min="4" max="4" width="10.77734375" bestFit="1" customWidth="1"/>
    <col min="5" max="5" width="23.6640625" bestFit="1" customWidth="1"/>
    <col min="6" max="6" width="11.33203125" style="4" customWidth="1"/>
    <col min="7" max="7" width="16.33203125" style="4" customWidth="1"/>
    <col min="8" max="12" width="11.33203125" customWidth="1"/>
    <col min="13" max="13" width="30.5546875" style="4" bestFit="1" customWidth="1"/>
    <col min="14" max="14" width="16.88671875" bestFit="1" customWidth="1"/>
    <col min="15" max="15" width="16.44140625" bestFit="1" customWidth="1"/>
    <col min="16" max="16" width="13.5546875" bestFit="1" customWidth="1"/>
    <col min="17" max="17" width="13.88671875" bestFit="1" customWidth="1"/>
    <col min="18" max="18" width="11.33203125" customWidth="1"/>
    <col min="19" max="19" width="31.33203125" style="9" customWidth="1"/>
    <col min="20" max="20" width="16.21875" style="9" customWidth="1"/>
    <col min="21" max="21" width="15.44140625" style="9" customWidth="1"/>
    <col min="22" max="22" width="13.5546875" style="9" customWidth="1"/>
    <col min="23" max="23" width="23.109375" bestFit="1" customWidth="1"/>
    <col min="24" max="24" width="31.5546875" bestFit="1" customWidth="1"/>
    <col min="25" max="25" width="16.109375" bestFit="1" customWidth="1"/>
  </cols>
  <sheetData>
    <row r="1" spans="1:27" x14ac:dyDescent="0.3">
      <c r="B1" t="s">
        <v>693</v>
      </c>
      <c r="C1" s="9" t="s">
        <v>694</v>
      </c>
      <c r="E1" s="9" t="s">
        <v>694</v>
      </c>
      <c r="F1" s="2" t="s">
        <v>695</v>
      </c>
      <c r="G1" s="2">
        <v>1.45</v>
      </c>
      <c r="H1" s="9" t="s">
        <v>972</v>
      </c>
      <c r="I1" s="9" t="s">
        <v>972</v>
      </c>
      <c r="J1" s="9"/>
      <c r="K1" s="9" t="s">
        <v>979</v>
      </c>
      <c r="L1" s="9" t="s">
        <v>979</v>
      </c>
      <c r="M1" s="2" t="s">
        <v>980</v>
      </c>
      <c r="N1" s="9" t="s">
        <v>976</v>
      </c>
      <c r="O1" s="9" t="s">
        <v>977</v>
      </c>
      <c r="P1" s="9" t="s">
        <v>970</v>
      </c>
      <c r="Q1" s="9" t="s">
        <v>971</v>
      </c>
      <c r="R1" s="9"/>
      <c r="S1" s="9" t="s">
        <v>696</v>
      </c>
      <c r="W1" t="s">
        <v>697</v>
      </c>
      <c r="Y1" t="s">
        <v>698</v>
      </c>
    </row>
    <row r="2" spans="1:27" ht="18" x14ac:dyDescent="0.35">
      <c r="A2" t="s">
        <v>699</v>
      </c>
      <c r="B2">
        <v>8</v>
      </c>
      <c r="C2" s="9">
        <v>51581</v>
      </c>
      <c r="D2" s="13">
        <f t="shared" ref="D2:D7" si="0">C2*B2</f>
        <v>412648</v>
      </c>
      <c r="E2" s="13">
        <f t="shared" ref="E2:E7" si="1">D2/W2</f>
        <v>256408.21703306946</v>
      </c>
      <c r="F2" s="19">
        <v>260000</v>
      </c>
      <c r="G2" s="19">
        <f>F2*$G$1</f>
        <v>377000</v>
      </c>
      <c r="H2" s="13">
        <f>F2/20</f>
        <v>13000</v>
      </c>
      <c r="I2" s="13">
        <f>G2/20</f>
        <v>18850</v>
      </c>
      <c r="J2" s="13">
        <v>19000</v>
      </c>
      <c r="K2" s="13">
        <f>F2/30</f>
        <v>8666.6666666666661</v>
      </c>
      <c r="L2" s="13">
        <f>G2/30</f>
        <v>12566.666666666666</v>
      </c>
      <c r="M2" s="3">
        <f>(0.84*K2)+(0.16*L2)</f>
        <v>9290.6666666666661</v>
      </c>
      <c r="N2" s="13">
        <f>F2/30</f>
        <v>8666.6666666666661</v>
      </c>
      <c r="O2" s="13">
        <f>G2/30</f>
        <v>12566.666666666666</v>
      </c>
      <c r="P2" s="13">
        <v>180000</v>
      </c>
      <c r="Q2" s="13">
        <v>260000</v>
      </c>
      <c r="R2" s="18">
        <f>Q2/P2</f>
        <v>1.4444444444444444</v>
      </c>
      <c r="S2" s="9">
        <v>350000</v>
      </c>
      <c r="V2" s="23">
        <f t="shared" ref="V2:V7" si="2">S2/F2</f>
        <v>1.3461538461538463</v>
      </c>
      <c r="W2">
        <v>1.60934</v>
      </c>
      <c r="X2" s="13">
        <f>F2/20</f>
        <v>13000</v>
      </c>
      <c r="Y2" t="s">
        <v>700</v>
      </c>
      <c r="Z2">
        <v>450000</v>
      </c>
      <c r="AA2">
        <f>Z2/500</f>
        <v>900</v>
      </c>
    </row>
    <row r="3" spans="1:27" ht="18" x14ac:dyDescent="0.35">
      <c r="A3" t="s">
        <v>701</v>
      </c>
      <c r="B3">
        <v>12</v>
      </c>
      <c r="C3" s="9">
        <v>51581</v>
      </c>
      <c r="D3" s="13">
        <f t="shared" si="0"/>
        <v>618972</v>
      </c>
      <c r="E3" s="13">
        <f t="shared" si="1"/>
        <v>384612.3255496042</v>
      </c>
      <c r="F3" s="19">
        <v>385000</v>
      </c>
      <c r="G3" s="19">
        <f t="shared" ref="G3:G7" si="3">F3*$G$1</f>
        <v>558250</v>
      </c>
      <c r="H3" s="13">
        <f t="shared" ref="H3:H7" si="4">F3/20</f>
        <v>19250</v>
      </c>
      <c r="I3" s="13">
        <f t="shared" ref="I3:I7" si="5">G3/20</f>
        <v>27912.5</v>
      </c>
      <c r="J3" s="13">
        <v>28000</v>
      </c>
      <c r="K3" s="13">
        <f t="shared" ref="K3:K7" si="6">F3/30</f>
        <v>12833.333333333334</v>
      </c>
      <c r="L3" s="13">
        <f t="shared" ref="L3:L7" si="7">G3/30</f>
        <v>18608.333333333332</v>
      </c>
      <c r="M3" s="3">
        <f t="shared" ref="M3:M7" si="8">(0.84*K3)+(0.16*L3)</f>
        <v>13757.333333333332</v>
      </c>
      <c r="N3" s="13">
        <f t="shared" ref="N3:N7" si="9">F3/30</f>
        <v>12833.333333333334</v>
      </c>
      <c r="O3" s="13">
        <f t="shared" ref="O3:O7" si="10">G3/30</f>
        <v>18608.333333333332</v>
      </c>
      <c r="P3" s="13">
        <v>300000</v>
      </c>
      <c r="Q3" s="13">
        <v>500000</v>
      </c>
      <c r="R3" s="18">
        <f t="shared" ref="R3:R7" si="11">Q3/P3</f>
        <v>1.6666666666666667</v>
      </c>
      <c r="S3" s="9">
        <v>430000</v>
      </c>
      <c r="V3" s="23">
        <f t="shared" si="2"/>
        <v>1.1168831168831168</v>
      </c>
      <c r="W3">
        <v>1.60934</v>
      </c>
      <c r="X3" s="13">
        <f t="shared" ref="X3:X7" si="12">F3/20</f>
        <v>19250</v>
      </c>
    </row>
    <row r="4" spans="1:27" ht="18" x14ac:dyDescent="0.35">
      <c r="A4" t="s">
        <v>702</v>
      </c>
      <c r="B4">
        <v>16</v>
      </c>
      <c r="C4" s="9">
        <v>51581</v>
      </c>
      <c r="D4" s="13">
        <f t="shared" si="0"/>
        <v>825296</v>
      </c>
      <c r="E4" s="13">
        <f t="shared" si="1"/>
        <v>512816.43406613893</v>
      </c>
      <c r="F4" s="19">
        <v>510000</v>
      </c>
      <c r="G4" s="19">
        <f t="shared" si="3"/>
        <v>739500</v>
      </c>
      <c r="H4" s="13">
        <f t="shared" si="4"/>
        <v>25500</v>
      </c>
      <c r="I4" s="13">
        <f t="shared" si="5"/>
        <v>36975</v>
      </c>
      <c r="J4" s="13">
        <v>37000</v>
      </c>
      <c r="K4" s="13">
        <f t="shared" si="6"/>
        <v>17000</v>
      </c>
      <c r="L4" s="13">
        <f t="shared" si="7"/>
        <v>24650</v>
      </c>
      <c r="M4" s="3">
        <f t="shared" si="8"/>
        <v>18224</v>
      </c>
      <c r="N4" s="13">
        <f t="shared" si="9"/>
        <v>17000</v>
      </c>
      <c r="O4" s="13">
        <f t="shared" si="10"/>
        <v>24650</v>
      </c>
      <c r="P4" s="13">
        <v>450000</v>
      </c>
      <c r="Q4" s="13">
        <v>600000</v>
      </c>
      <c r="R4" s="18">
        <f t="shared" si="11"/>
        <v>1.3333333333333333</v>
      </c>
      <c r="S4" s="9">
        <v>590000</v>
      </c>
      <c r="V4" s="23">
        <f t="shared" si="2"/>
        <v>1.1568627450980393</v>
      </c>
      <c r="W4">
        <v>1.60934</v>
      </c>
      <c r="X4" s="13">
        <f t="shared" si="12"/>
        <v>25500</v>
      </c>
    </row>
    <row r="5" spans="1:27" ht="18" x14ac:dyDescent="0.35">
      <c r="A5" t="s">
        <v>703</v>
      </c>
      <c r="B5">
        <v>20</v>
      </c>
      <c r="C5" s="9">
        <v>51581</v>
      </c>
      <c r="D5" s="13">
        <f t="shared" si="0"/>
        <v>1031620</v>
      </c>
      <c r="E5" s="13">
        <f t="shared" si="1"/>
        <v>641020.5425826736</v>
      </c>
      <c r="F5" s="19">
        <v>640000</v>
      </c>
      <c r="G5" s="19">
        <f t="shared" si="3"/>
        <v>928000</v>
      </c>
      <c r="H5" s="13">
        <f t="shared" si="4"/>
        <v>32000</v>
      </c>
      <c r="I5" s="13">
        <f t="shared" si="5"/>
        <v>46400</v>
      </c>
      <c r="J5" s="13">
        <v>46500</v>
      </c>
      <c r="K5" s="13">
        <f t="shared" si="6"/>
        <v>21333.333333333332</v>
      </c>
      <c r="L5" s="13">
        <f t="shared" si="7"/>
        <v>30933.333333333332</v>
      </c>
      <c r="M5" s="3">
        <f t="shared" si="8"/>
        <v>22869.333333333332</v>
      </c>
      <c r="N5" s="13">
        <f t="shared" si="9"/>
        <v>21333.333333333332</v>
      </c>
      <c r="O5" s="13">
        <f t="shared" si="10"/>
        <v>30933.333333333332</v>
      </c>
      <c r="P5" s="13">
        <v>510000</v>
      </c>
      <c r="Q5" s="13">
        <v>700000</v>
      </c>
      <c r="R5" s="18">
        <f t="shared" si="11"/>
        <v>1.3725490196078431</v>
      </c>
      <c r="S5" s="9">
        <v>720000</v>
      </c>
      <c r="V5" s="23">
        <f t="shared" si="2"/>
        <v>1.125</v>
      </c>
      <c r="W5">
        <v>1.60934</v>
      </c>
      <c r="X5" s="13">
        <f t="shared" si="12"/>
        <v>32000</v>
      </c>
    </row>
    <row r="6" spans="1:27" ht="18" x14ac:dyDescent="0.35">
      <c r="A6" t="s">
        <v>704</v>
      </c>
      <c r="B6">
        <v>24</v>
      </c>
      <c r="C6" s="9">
        <v>51581</v>
      </c>
      <c r="D6" s="13">
        <f t="shared" si="0"/>
        <v>1237944</v>
      </c>
      <c r="E6" s="13">
        <f t="shared" si="1"/>
        <v>769224.65109920839</v>
      </c>
      <c r="F6" s="19">
        <v>770000</v>
      </c>
      <c r="G6" s="19">
        <f t="shared" si="3"/>
        <v>1116500</v>
      </c>
      <c r="H6" s="13">
        <f t="shared" si="4"/>
        <v>38500</v>
      </c>
      <c r="I6" s="13">
        <f t="shared" si="5"/>
        <v>55825</v>
      </c>
      <c r="J6" s="13">
        <v>56000</v>
      </c>
      <c r="K6" s="13">
        <f t="shared" si="6"/>
        <v>25666.666666666668</v>
      </c>
      <c r="L6" s="13">
        <f t="shared" si="7"/>
        <v>37216.666666666664</v>
      </c>
      <c r="M6" s="3">
        <f t="shared" si="8"/>
        <v>27514.666666666664</v>
      </c>
      <c r="N6" s="13">
        <f t="shared" si="9"/>
        <v>25666.666666666668</v>
      </c>
      <c r="O6" s="13">
        <f t="shared" si="10"/>
        <v>37216.666666666664</v>
      </c>
      <c r="P6" s="13">
        <v>550000</v>
      </c>
      <c r="Q6" s="13">
        <v>730000</v>
      </c>
      <c r="R6" s="18">
        <f t="shared" si="11"/>
        <v>1.3272727272727274</v>
      </c>
      <c r="S6" s="9">
        <v>800000</v>
      </c>
      <c r="V6" s="23">
        <f t="shared" si="2"/>
        <v>1.0389610389610389</v>
      </c>
      <c r="W6">
        <v>1.60934</v>
      </c>
      <c r="X6" s="13">
        <f t="shared" si="12"/>
        <v>38500</v>
      </c>
    </row>
    <row r="7" spans="1:27" ht="18" x14ac:dyDescent="0.35">
      <c r="A7" t="s">
        <v>705</v>
      </c>
      <c r="B7">
        <v>30</v>
      </c>
      <c r="C7" s="9">
        <v>51581</v>
      </c>
      <c r="D7" s="13">
        <f t="shared" si="0"/>
        <v>1547430</v>
      </c>
      <c r="E7" s="13">
        <f t="shared" si="1"/>
        <v>961530.81387401046</v>
      </c>
      <c r="F7" s="19">
        <v>960000</v>
      </c>
      <c r="G7" s="19">
        <f t="shared" si="3"/>
        <v>1392000</v>
      </c>
      <c r="H7" s="13">
        <f t="shared" si="4"/>
        <v>48000</v>
      </c>
      <c r="I7" s="13">
        <f t="shared" si="5"/>
        <v>69600</v>
      </c>
      <c r="J7" s="13">
        <v>70000</v>
      </c>
      <c r="K7" s="13">
        <f t="shared" si="6"/>
        <v>32000</v>
      </c>
      <c r="L7" s="13">
        <f t="shared" si="7"/>
        <v>46400</v>
      </c>
      <c r="M7" s="3">
        <f t="shared" si="8"/>
        <v>34304</v>
      </c>
      <c r="N7" s="13">
        <f t="shared" si="9"/>
        <v>32000</v>
      </c>
      <c r="O7" s="13">
        <f t="shared" si="10"/>
        <v>46400</v>
      </c>
      <c r="P7" s="13">
        <v>610000</v>
      </c>
      <c r="Q7" s="13">
        <v>870000</v>
      </c>
      <c r="R7" s="18">
        <f t="shared" si="11"/>
        <v>1.4262295081967213</v>
      </c>
      <c r="S7" s="9">
        <v>900000</v>
      </c>
      <c r="V7" s="23">
        <f t="shared" si="2"/>
        <v>0.9375</v>
      </c>
      <c r="W7">
        <v>1.60934</v>
      </c>
      <c r="X7" s="13">
        <f t="shared" si="12"/>
        <v>48000</v>
      </c>
    </row>
    <row r="8" spans="1:27" x14ac:dyDescent="0.3">
      <c r="R8" s="18">
        <f>SUM(R2:R7)</f>
        <v>8.5704956995217358</v>
      </c>
    </row>
    <row r="9" spans="1:27" x14ac:dyDescent="0.3">
      <c r="R9" s="24">
        <f>R8/6</f>
        <v>1.4284159499202893</v>
      </c>
    </row>
    <row r="10" spans="1:27" x14ac:dyDescent="0.3">
      <c r="E10" t="s">
        <v>706</v>
      </c>
      <c r="F10" s="4" t="s">
        <v>707</v>
      </c>
    </row>
    <row r="11" spans="1:27" x14ac:dyDescent="0.3">
      <c r="B11">
        <v>1</v>
      </c>
      <c r="C11" s="9">
        <v>8</v>
      </c>
      <c r="E11">
        <v>20.72</v>
      </c>
      <c r="F11" s="4">
        <f>AVERAGE(E11:E14)</f>
        <v>12.414999999999999</v>
      </c>
    </row>
    <row r="12" spans="1:27" x14ac:dyDescent="0.3">
      <c r="B12">
        <v>3.2</v>
      </c>
      <c r="C12" s="9">
        <v>12</v>
      </c>
      <c r="E12">
        <v>11.15</v>
      </c>
    </row>
    <row r="13" spans="1:27" x14ac:dyDescent="0.3">
      <c r="B13">
        <v>6</v>
      </c>
      <c r="C13" s="9">
        <v>16</v>
      </c>
      <c r="E13">
        <v>9.33</v>
      </c>
    </row>
    <row r="14" spans="1:27" x14ac:dyDescent="0.3">
      <c r="B14">
        <v>15</v>
      </c>
      <c r="C14" s="9">
        <v>22</v>
      </c>
      <c r="E14">
        <v>8.4600000000000009</v>
      </c>
    </row>
    <row r="17" spans="3:7" x14ac:dyDescent="0.3">
      <c r="G17" s="4">
        <v>110000</v>
      </c>
    </row>
    <row r="18" spans="3:7" x14ac:dyDescent="0.3">
      <c r="G18" s="4">
        <v>930</v>
      </c>
    </row>
    <row r="19" spans="3:7" x14ac:dyDescent="0.3">
      <c r="G19" s="22">
        <f>G17/G18</f>
        <v>118.27956989247312</v>
      </c>
    </row>
    <row r="20" spans="3:7" x14ac:dyDescent="0.3">
      <c r="C20" s="25">
        <v>0.8</v>
      </c>
      <c r="D20" s="26">
        <v>250</v>
      </c>
      <c r="E20" s="26">
        <f>C20/D20</f>
        <v>3.2000000000000002E-3</v>
      </c>
    </row>
    <row r="21" spans="3:7" x14ac:dyDescent="0.3">
      <c r="C21" s="25"/>
      <c r="D21" s="26"/>
      <c r="E21" s="26"/>
      <c r="G21" s="4">
        <v>35000</v>
      </c>
    </row>
    <row r="22" spans="3:7" x14ac:dyDescent="0.3">
      <c r="G22" s="2">
        <f>G21*G19</f>
        <v>4139784.9462365592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57D0E-1215-4C7D-9663-9277BC15E323}">
  <dimension ref="A1:K22"/>
  <sheetViews>
    <sheetView topLeftCell="F1" workbookViewId="0">
      <selection activeCell="H4" sqref="H4"/>
    </sheetView>
  </sheetViews>
  <sheetFormatPr defaultRowHeight="14.4" x14ac:dyDescent="0.3"/>
  <cols>
    <col min="2" max="2" width="12.77734375" bestFit="1" customWidth="1"/>
    <col min="3" max="3" width="18" bestFit="1" customWidth="1"/>
    <col min="4" max="4" width="15.5546875" style="1" bestFit="1" customWidth="1"/>
    <col min="5" max="5" width="16" style="1" bestFit="1" customWidth="1"/>
    <col min="6" max="6" width="31.77734375" customWidth="1"/>
    <col min="7" max="7" width="14.109375" customWidth="1"/>
    <col min="8" max="8" width="21.33203125" customWidth="1"/>
    <col min="9" max="9" width="20.21875" customWidth="1"/>
    <col min="10" max="10" width="29" bestFit="1" customWidth="1"/>
  </cols>
  <sheetData>
    <row r="1" spans="1:11" x14ac:dyDescent="0.3">
      <c r="F1" s="33" t="s">
        <v>708</v>
      </c>
      <c r="G1" s="33"/>
      <c r="H1" s="33"/>
      <c r="I1" s="5" t="s">
        <v>709</v>
      </c>
      <c r="J1" s="6"/>
      <c r="K1" s="6"/>
    </row>
    <row r="2" spans="1:11" x14ac:dyDescent="0.3">
      <c r="B2" t="s">
        <v>693</v>
      </c>
      <c r="C2" t="s">
        <v>710</v>
      </c>
      <c r="D2" s="1" t="s">
        <v>711</v>
      </c>
      <c r="E2" s="1" t="s">
        <v>712</v>
      </c>
      <c r="F2" s="7" t="s">
        <v>713</v>
      </c>
      <c r="G2" s="7" t="s">
        <v>714</v>
      </c>
      <c r="H2" s="7" t="s">
        <v>715</v>
      </c>
      <c r="I2" s="8" t="s">
        <v>715</v>
      </c>
      <c r="J2" s="2" t="s">
        <v>980</v>
      </c>
    </row>
    <row r="3" spans="1:11" x14ac:dyDescent="0.3">
      <c r="A3" t="s">
        <v>699</v>
      </c>
      <c r="B3">
        <v>8</v>
      </c>
      <c r="C3">
        <v>1</v>
      </c>
      <c r="D3" s="1">
        <v>100000</v>
      </c>
      <c r="E3" s="1">
        <v>2000000</v>
      </c>
      <c r="F3" s="7">
        <v>7</v>
      </c>
      <c r="G3" s="7">
        <v>161</v>
      </c>
      <c r="H3" s="7">
        <f t="shared" ref="H3:H8" si="0">F3/G3</f>
        <v>4.3478260869565216E-2</v>
      </c>
      <c r="I3" s="8">
        <v>7.1370000000000003E-2</v>
      </c>
      <c r="J3" s="28">
        <f>(0.84*H3)+(0.16*I3)</f>
        <v>4.7940939130434776E-2</v>
      </c>
    </row>
    <row r="4" spans="1:11" x14ac:dyDescent="0.3">
      <c r="A4" t="s">
        <v>701</v>
      </c>
      <c r="B4">
        <v>12</v>
      </c>
      <c r="C4">
        <v>3.2</v>
      </c>
      <c r="D4" s="1">
        <v>1600000</v>
      </c>
      <c r="E4" s="1">
        <v>4000000</v>
      </c>
      <c r="F4" s="7">
        <v>3.22</v>
      </c>
      <c r="G4" s="7">
        <v>161</v>
      </c>
      <c r="H4" s="32">
        <f t="shared" si="0"/>
        <v>0.02</v>
      </c>
      <c r="I4" s="8">
        <f>I3/K4</f>
        <v>3.2830200000000004E-2</v>
      </c>
      <c r="J4" s="28">
        <f t="shared" ref="J4:J8" si="1">(0.84*H4)+(0.16*I4)</f>
        <v>2.2052832000000001E-2</v>
      </c>
      <c r="K4">
        <f>H3/H4</f>
        <v>2.1739130434782608</v>
      </c>
    </row>
    <row r="5" spans="1:11" x14ac:dyDescent="0.3">
      <c r="A5" t="s">
        <v>702</v>
      </c>
      <c r="B5">
        <v>16</v>
      </c>
      <c r="C5">
        <v>6</v>
      </c>
      <c r="D5" s="1">
        <v>3200000</v>
      </c>
      <c r="E5" s="1">
        <v>8000000</v>
      </c>
      <c r="F5" s="7">
        <v>2.23</v>
      </c>
      <c r="G5" s="7">
        <v>161</v>
      </c>
      <c r="H5" s="7">
        <f t="shared" si="0"/>
        <v>1.3850931677018634E-2</v>
      </c>
      <c r="I5" s="8">
        <v>2.315E-2</v>
      </c>
      <c r="J5" s="28">
        <f t="shared" si="1"/>
        <v>1.5338782608695653E-2</v>
      </c>
    </row>
    <row r="6" spans="1:11" x14ac:dyDescent="0.3">
      <c r="A6" t="s">
        <v>703</v>
      </c>
      <c r="B6">
        <v>20</v>
      </c>
      <c r="C6">
        <v>10</v>
      </c>
      <c r="D6" s="1">
        <v>6400000</v>
      </c>
      <c r="E6" s="1">
        <v>12000000</v>
      </c>
      <c r="F6" s="7">
        <v>1.8</v>
      </c>
      <c r="G6" s="7">
        <v>161</v>
      </c>
      <c r="H6" s="7">
        <f t="shared" si="0"/>
        <v>1.1180124223602485E-2</v>
      </c>
      <c r="I6" s="8">
        <v>1.338E-2</v>
      </c>
      <c r="J6" s="28">
        <f t="shared" si="1"/>
        <v>1.1532104347826087E-2</v>
      </c>
    </row>
    <row r="7" spans="1:11" x14ac:dyDescent="0.3">
      <c r="A7" t="s">
        <v>704</v>
      </c>
      <c r="B7">
        <v>24</v>
      </c>
      <c r="C7">
        <v>15</v>
      </c>
      <c r="D7" s="1">
        <v>9600000</v>
      </c>
      <c r="E7" s="1">
        <v>20000000</v>
      </c>
      <c r="F7" s="7">
        <v>1.19</v>
      </c>
      <c r="G7" s="7">
        <v>161</v>
      </c>
      <c r="H7" s="7">
        <f t="shared" si="0"/>
        <v>7.391304347826087E-3</v>
      </c>
      <c r="I7" s="8">
        <v>9.9100000000000004E-3</v>
      </c>
      <c r="J7" s="28">
        <f t="shared" si="1"/>
        <v>7.7942956521739135E-3</v>
      </c>
    </row>
    <row r="8" spans="1:11" x14ac:dyDescent="0.3">
      <c r="A8" t="s">
        <v>705</v>
      </c>
      <c r="B8">
        <v>30</v>
      </c>
      <c r="C8">
        <v>25</v>
      </c>
      <c r="D8" s="1">
        <v>16000000</v>
      </c>
      <c r="E8" s="1">
        <v>36000000</v>
      </c>
      <c r="F8" s="7">
        <v>1</v>
      </c>
      <c r="G8" s="7">
        <v>161</v>
      </c>
      <c r="H8" s="7">
        <f t="shared" si="0"/>
        <v>6.2111801242236021E-3</v>
      </c>
      <c r="I8" s="8">
        <v>6.8700000000000002E-3</v>
      </c>
      <c r="J8" s="28">
        <f t="shared" si="1"/>
        <v>6.3165913043478255E-3</v>
      </c>
    </row>
    <row r="12" spans="1:11" x14ac:dyDescent="0.3">
      <c r="F12">
        <v>13000</v>
      </c>
    </row>
    <row r="13" spans="1:11" x14ac:dyDescent="0.3">
      <c r="F13">
        <v>20</v>
      </c>
    </row>
    <row r="14" spans="1:11" x14ac:dyDescent="0.3">
      <c r="B14">
        <v>1872316</v>
      </c>
      <c r="C14">
        <v>1872316</v>
      </c>
      <c r="F14">
        <f>F13*F12</f>
        <v>260000</v>
      </c>
    </row>
    <row r="15" spans="1:11" x14ac:dyDescent="0.3">
      <c r="B15">
        <v>1190000</v>
      </c>
      <c r="C15">
        <v>1190000</v>
      </c>
    </row>
    <row r="16" spans="1:11" x14ac:dyDescent="0.3">
      <c r="B16">
        <v>1190000</v>
      </c>
      <c r="C16">
        <v>1190000</v>
      </c>
      <c r="E16" s="1">
        <v>832357460</v>
      </c>
      <c r="F16" s="1">
        <v>6593992000</v>
      </c>
    </row>
    <row r="17" spans="2:8" x14ac:dyDescent="0.3">
      <c r="B17">
        <v>1190000</v>
      </c>
      <c r="C17">
        <v>878301</v>
      </c>
    </row>
    <row r="18" spans="2:8" x14ac:dyDescent="0.3">
      <c r="B18">
        <v>878301</v>
      </c>
      <c r="C18">
        <v>878301</v>
      </c>
    </row>
    <row r="19" spans="2:8" x14ac:dyDescent="0.3">
      <c r="B19">
        <v>878301</v>
      </c>
      <c r="C19">
        <v>878301</v>
      </c>
      <c r="E19" s="1">
        <v>891811560</v>
      </c>
    </row>
    <row r="20" spans="2:8" x14ac:dyDescent="0.3">
      <c r="B20">
        <v>878301</v>
      </c>
      <c r="C20">
        <v>878301</v>
      </c>
      <c r="H20" t="s">
        <v>981</v>
      </c>
    </row>
    <row r="21" spans="2:8" x14ac:dyDescent="0.3">
      <c r="B21">
        <v>878301</v>
      </c>
      <c r="C21" s="1">
        <f>SUM(C14:C20)</f>
        <v>7765520</v>
      </c>
      <c r="E21" s="1">
        <v>6541222100</v>
      </c>
      <c r="H21" s="29">
        <v>2718281828459040</v>
      </c>
    </row>
    <row r="22" spans="2:8" x14ac:dyDescent="0.3">
      <c r="B22" s="10">
        <f>SUM(B14:B21)</f>
        <v>8955520</v>
      </c>
      <c r="E22" s="1">
        <v>6858452200</v>
      </c>
    </row>
  </sheetData>
  <mergeCells count="1">
    <mergeCell ref="F1:H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D73F4-F313-44E5-A1CB-363E6A1CA699}">
  <dimension ref="A1:J7"/>
  <sheetViews>
    <sheetView workbookViewId="0">
      <selection sqref="A1:XFD1048576"/>
    </sheetView>
  </sheetViews>
  <sheetFormatPr defaultRowHeight="14.4" x14ac:dyDescent="0.3"/>
  <sheetData>
    <row r="1" spans="1:10" x14ac:dyDescent="0.3">
      <c r="B1" t="s">
        <v>577</v>
      </c>
      <c r="C1" t="s">
        <v>578</v>
      </c>
      <c r="D1" t="s">
        <v>579</v>
      </c>
      <c r="E1" t="s">
        <v>580</v>
      </c>
      <c r="F1" t="s">
        <v>581</v>
      </c>
      <c r="G1" t="s">
        <v>582</v>
      </c>
      <c r="H1" t="s">
        <v>583</v>
      </c>
      <c r="I1" t="s">
        <v>584</v>
      </c>
      <c r="J1" t="s">
        <v>585</v>
      </c>
    </row>
    <row r="2" spans="1:10" x14ac:dyDescent="0.3">
      <c r="A2" t="s">
        <v>804</v>
      </c>
      <c r="B2">
        <v>68</v>
      </c>
      <c r="C2">
        <v>68</v>
      </c>
      <c r="D2">
        <v>57</v>
      </c>
      <c r="E2">
        <v>57</v>
      </c>
      <c r="F2">
        <v>90</v>
      </c>
      <c r="G2">
        <v>90</v>
      </c>
      <c r="H2">
        <v>57</v>
      </c>
      <c r="I2">
        <v>57</v>
      </c>
      <c r="J2">
        <v>50</v>
      </c>
    </row>
    <row r="3" spans="1:10" x14ac:dyDescent="0.3">
      <c r="A3" t="s">
        <v>805</v>
      </c>
      <c r="B3">
        <v>93</v>
      </c>
      <c r="C3">
        <v>93</v>
      </c>
      <c r="D3">
        <v>74</v>
      </c>
      <c r="E3">
        <v>74</v>
      </c>
      <c r="F3">
        <v>90</v>
      </c>
      <c r="G3">
        <v>90</v>
      </c>
      <c r="H3">
        <v>86</v>
      </c>
      <c r="I3">
        <v>86</v>
      </c>
      <c r="J3">
        <v>75</v>
      </c>
    </row>
    <row r="4" spans="1:10" x14ac:dyDescent="0.3">
      <c r="A4" t="s">
        <v>806</v>
      </c>
      <c r="B4">
        <v>38</v>
      </c>
      <c r="C4">
        <v>38</v>
      </c>
      <c r="D4">
        <v>70</v>
      </c>
      <c r="E4">
        <v>70</v>
      </c>
      <c r="F4">
        <v>52</v>
      </c>
      <c r="G4">
        <v>52</v>
      </c>
      <c r="H4">
        <v>48</v>
      </c>
      <c r="I4">
        <v>48</v>
      </c>
      <c r="J4">
        <v>61</v>
      </c>
    </row>
    <row r="5" spans="1:10" x14ac:dyDescent="0.3">
      <c r="A5" t="s">
        <v>807</v>
      </c>
      <c r="B5">
        <v>60</v>
      </c>
      <c r="C5">
        <v>60</v>
      </c>
      <c r="D5">
        <v>58</v>
      </c>
      <c r="E5">
        <v>58</v>
      </c>
      <c r="F5">
        <v>30</v>
      </c>
      <c r="G5">
        <v>30</v>
      </c>
      <c r="H5">
        <v>51</v>
      </c>
      <c r="I5">
        <v>51</v>
      </c>
      <c r="J5">
        <v>76</v>
      </c>
    </row>
    <row r="6" spans="1:10" x14ac:dyDescent="0.3">
      <c r="A6" t="s">
        <v>808</v>
      </c>
      <c r="B6">
        <v>64</v>
      </c>
      <c r="C6">
        <v>64</v>
      </c>
      <c r="D6">
        <v>57</v>
      </c>
      <c r="E6">
        <v>57</v>
      </c>
      <c r="F6">
        <v>42</v>
      </c>
      <c r="G6">
        <v>42</v>
      </c>
      <c r="H6">
        <v>42</v>
      </c>
      <c r="I6">
        <v>42</v>
      </c>
      <c r="J6">
        <v>70</v>
      </c>
    </row>
    <row r="7" spans="1:10" x14ac:dyDescent="0.3">
      <c r="A7" t="s">
        <v>809</v>
      </c>
      <c r="B7">
        <v>29</v>
      </c>
      <c r="C7">
        <v>29</v>
      </c>
      <c r="D7">
        <v>29</v>
      </c>
      <c r="E7">
        <v>29</v>
      </c>
      <c r="F7">
        <v>20</v>
      </c>
      <c r="G7">
        <v>20</v>
      </c>
      <c r="H7">
        <v>44</v>
      </c>
      <c r="I7">
        <v>44</v>
      </c>
      <c r="J7">
        <v>30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88E5E-D822-4D56-9D25-9DC5F931DD27}">
  <dimension ref="A1:L23"/>
  <sheetViews>
    <sheetView workbookViewId="0">
      <pane xSplit="2" ySplit="1" topLeftCell="G2" activePane="bottomRight" state="frozen"/>
      <selection pane="topRight" activeCell="B1" sqref="B1"/>
      <selection pane="bottomLeft" activeCell="A2" sqref="A2"/>
      <selection pane="bottomRight" activeCell="D3" sqref="D3:L23"/>
    </sheetView>
  </sheetViews>
  <sheetFormatPr defaultRowHeight="14.4" x14ac:dyDescent="0.3"/>
  <cols>
    <col min="2" max="2" width="24.77734375" bestFit="1" customWidth="1"/>
    <col min="3" max="3" width="24.77734375" customWidth="1"/>
    <col min="5" max="5" width="18.44140625" customWidth="1"/>
  </cols>
  <sheetData>
    <row r="1" spans="1:12" x14ac:dyDescent="0.3">
      <c r="B1" t="s">
        <v>692</v>
      </c>
      <c r="D1" t="s">
        <v>577</v>
      </c>
      <c r="E1" t="s">
        <v>578</v>
      </c>
      <c r="F1" t="s">
        <v>579</v>
      </c>
      <c r="G1" t="s">
        <v>580</v>
      </c>
      <c r="H1" t="s">
        <v>581</v>
      </c>
      <c r="I1" t="s">
        <v>582</v>
      </c>
      <c r="J1" t="s">
        <v>583</v>
      </c>
      <c r="K1" t="s">
        <v>584</v>
      </c>
      <c r="L1" t="s">
        <v>585</v>
      </c>
    </row>
    <row r="2" spans="1:12" x14ac:dyDescent="0.3">
      <c r="D2" t="s">
        <v>822</v>
      </c>
      <c r="E2" t="s">
        <v>834</v>
      </c>
      <c r="F2" t="s">
        <v>821</v>
      </c>
      <c r="G2" t="s">
        <v>837</v>
      </c>
      <c r="H2" t="s">
        <v>827</v>
      </c>
      <c r="I2" t="s">
        <v>841</v>
      </c>
      <c r="J2" t="s">
        <v>828</v>
      </c>
      <c r="K2" t="s">
        <v>842</v>
      </c>
      <c r="L2" t="s">
        <v>832</v>
      </c>
    </row>
    <row r="3" spans="1:12" x14ac:dyDescent="0.3">
      <c r="A3" t="s">
        <v>600</v>
      </c>
      <c r="B3" s="4" t="s">
        <v>28</v>
      </c>
      <c r="C3" t="s">
        <v>722</v>
      </c>
      <c r="D3">
        <v>1035</v>
      </c>
      <c r="E3">
        <v>950</v>
      </c>
      <c r="F3">
        <v>925</v>
      </c>
      <c r="G3">
        <v>560</v>
      </c>
      <c r="H3">
        <v>1650</v>
      </c>
      <c r="I3">
        <v>1535</v>
      </c>
      <c r="J3">
        <v>1200</v>
      </c>
      <c r="K3">
        <v>1360</v>
      </c>
      <c r="L3" s="12">
        <v>1200</v>
      </c>
    </row>
    <row r="4" spans="1:12" x14ac:dyDescent="0.3">
      <c r="A4" t="s">
        <v>601</v>
      </c>
      <c r="B4" s="4" t="s">
        <v>35</v>
      </c>
      <c r="C4" t="s">
        <v>722</v>
      </c>
      <c r="D4">
        <v>1200</v>
      </c>
      <c r="E4">
        <v>1100</v>
      </c>
      <c r="F4">
        <v>1075</v>
      </c>
      <c r="G4">
        <v>710</v>
      </c>
      <c r="H4">
        <v>1100</v>
      </c>
      <c r="I4">
        <v>1670</v>
      </c>
      <c r="J4">
        <v>1110</v>
      </c>
      <c r="K4">
        <v>1270</v>
      </c>
      <c r="L4" s="12">
        <v>1260</v>
      </c>
    </row>
    <row r="5" spans="1:12" x14ac:dyDescent="0.3">
      <c r="A5" t="s">
        <v>602</v>
      </c>
      <c r="B5" s="4" t="s">
        <v>42</v>
      </c>
      <c r="C5" t="s">
        <v>722</v>
      </c>
      <c r="D5">
        <v>1135</v>
      </c>
      <c r="E5">
        <v>1060</v>
      </c>
      <c r="F5">
        <v>1045</v>
      </c>
      <c r="G5">
        <v>675</v>
      </c>
      <c r="H5">
        <v>1760</v>
      </c>
      <c r="I5">
        <v>1645</v>
      </c>
      <c r="J5">
        <v>1125</v>
      </c>
      <c r="K5">
        <v>1270</v>
      </c>
      <c r="L5" s="12">
        <v>1230</v>
      </c>
    </row>
    <row r="6" spans="1:12" x14ac:dyDescent="0.3">
      <c r="A6" t="s">
        <v>603</v>
      </c>
      <c r="B6" s="4" t="s">
        <v>104</v>
      </c>
      <c r="C6" t="s">
        <v>725</v>
      </c>
      <c r="D6" s="12">
        <v>2220</v>
      </c>
      <c r="E6" s="12">
        <v>2100</v>
      </c>
      <c r="F6" s="12">
        <v>2065</v>
      </c>
      <c r="G6" s="12">
        <v>2350</v>
      </c>
      <c r="H6" s="12">
        <v>1300</v>
      </c>
      <c r="I6" s="12">
        <v>1350</v>
      </c>
      <c r="J6" s="12">
        <v>3230</v>
      </c>
      <c r="K6" s="12">
        <v>3280</v>
      </c>
      <c r="L6" s="12">
        <v>2230</v>
      </c>
    </row>
    <row r="7" spans="1:12" x14ac:dyDescent="0.3">
      <c r="A7" t="s">
        <v>604</v>
      </c>
      <c r="B7" s="4" t="s">
        <v>140</v>
      </c>
      <c r="C7" t="s">
        <v>729</v>
      </c>
      <c r="D7" s="12">
        <v>820</v>
      </c>
      <c r="E7" s="12">
        <v>950</v>
      </c>
      <c r="F7" s="12">
        <v>995</v>
      </c>
      <c r="G7" s="12">
        <v>785</v>
      </c>
      <c r="H7" s="12">
        <v>1760</v>
      </c>
      <c r="I7" s="12">
        <v>1710</v>
      </c>
      <c r="J7" s="12">
        <v>1940</v>
      </c>
      <c r="K7" s="12">
        <v>2100</v>
      </c>
      <c r="L7" s="12">
        <v>1890</v>
      </c>
    </row>
    <row r="8" spans="1:12" x14ac:dyDescent="0.3">
      <c r="A8" t="s">
        <v>605</v>
      </c>
      <c r="B8" s="4" t="s">
        <v>203</v>
      </c>
      <c r="C8" t="s">
        <v>732</v>
      </c>
      <c r="D8" s="12">
        <v>2270</v>
      </c>
      <c r="E8">
        <v>2060</v>
      </c>
      <c r="F8">
        <v>2025</v>
      </c>
      <c r="G8">
        <v>1735</v>
      </c>
      <c r="H8" s="12">
        <v>2450</v>
      </c>
      <c r="I8" s="12">
        <v>2280</v>
      </c>
      <c r="J8">
        <v>160</v>
      </c>
      <c r="K8">
        <v>10</v>
      </c>
      <c r="L8" s="12">
        <v>1060</v>
      </c>
    </row>
    <row r="9" spans="1:12" x14ac:dyDescent="0.3">
      <c r="A9" t="s">
        <v>606</v>
      </c>
      <c r="B9" s="4" t="s">
        <v>361</v>
      </c>
      <c r="C9" t="s">
        <v>736</v>
      </c>
      <c r="D9">
        <v>1330</v>
      </c>
      <c r="E9">
        <v>1125</v>
      </c>
      <c r="F9">
        <v>1070</v>
      </c>
      <c r="G9">
        <v>790</v>
      </c>
      <c r="H9">
        <v>1600</v>
      </c>
      <c r="I9">
        <v>1460</v>
      </c>
      <c r="J9">
        <v>800</v>
      </c>
      <c r="K9">
        <v>940</v>
      </c>
      <c r="L9" s="12">
        <v>700</v>
      </c>
    </row>
    <row r="10" spans="1:12" x14ac:dyDescent="0.3">
      <c r="A10" t="s">
        <v>607</v>
      </c>
      <c r="B10" s="4" t="s">
        <v>387</v>
      </c>
      <c r="C10" t="s">
        <v>736</v>
      </c>
      <c r="D10">
        <v>1590</v>
      </c>
      <c r="E10">
        <v>1470</v>
      </c>
      <c r="F10">
        <v>1440</v>
      </c>
      <c r="G10">
        <v>1085</v>
      </c>
      <c r="H10">
        <v>2090</v>
      </c>
      <c r="I10">
        <v>1950</v>
      </c>
      <c r="J10" s="12">
        <v>745</v>
      </c>
      <c r="K10" s="12">
        <v>900</v>
      </c>
      <c r="L10" s="12">
        <v>1200</v>
      </c>
    </row>
    <row r="11" spans="1:12" x14ac:dyDescent="0.3">
      <c r="A11" t="s">
        <v>608</v>
      </c>
      <c r="B11" s="4" t="s">
        <v>865</v>
      </c>
      <c r="C11" t="s">
        <v>864</v>
      </c>
      <c r="D11" s="12">
        <v>1850</v>
      </c>
      <c r="E11" s="12">
        <v>1650</v>
      </c>
      <c r="F11" s="12">
        <v>1590</v>
      </c>
      <c r="G11" s="12">
        <v>1815</v>
      </c>
      <c r="H11" s="12">
        <v>950</v>
      </c>
      <c r="I11" s="12">
        <v>650</v>
      </c>
      <c r="J11" s="12">
        <v>2480</v>
      </c>
      <c r="K11" s="12">
        <v>2535</v>
      </c>
      <c r="L11" s="12">
        <v>1500</v>
      </c>
    </row>
    <row r="12" spans="1:12" x14ac:dyDescent="0.3">
      <c r="A12" t="s">
        <v>609</v>
      </c>
      <c r="B12" s="4" t="s">
        <v>871</v>
      </c>
      <c r="C12" t="s">
        <v>864</v>
      </c>
      <c r="D12">
        <v>1475</v>
      </c>
      <c r="E12">
        <v>1235</v>
      </c>
      <c r="F12">
        <v>1200</v>
      </c>
      <c r="G12">
        <v>1420</v>
      </c>
      <c r="H12" s="12">
        <v>660</v>
      </c>
      <c r="I12" s="12">
        <v>555</v>
      </c>
      <c r="J12" s="12">
        <v>2165</v>
      </c>
      <c r="K12" s="12">
        <v>2250</v>
      </c>
      <c r="L12" s="12">
        <v>1195</v>
      </c>
    </row>
    <row r="13" spans="1:12" x14ac:dyDescent="0.3">
      <c r="A13" t="s">
        <v>610</v>
      </c>
      <c r="B13" s="4" t="s">
        <v>877</v>
      </c>
      <c r="C13" t="s">
        <v>929</v>
      </c>
      <c r="D13">
        <v>100</v>
      </c>
      <c r="E13">
        <v>100</v>
      </c>
      <c r="F13">
        <v>150</v>
      </c>
      <c r="G13">
        <v>390</v>
      </c>
      <c r="H13">
        <v>870</v>
      </c>
      <c r="I13">
        <v>840</v>
      </c>
      <c r="J13">
        <v>1960</v>
      </c>
      <c r="K13">
        <v>2100</v>
      </c>
      <c r="L13" s="12">
        <v>1440</v>
      </c>
    </row>
    <row r="14" spans="1:12" x14ac:dyDescent="0.3">
      <c r="A14" t="s">
        <v>611</v>
      </c>
      <c r="B14" s="4" t="s">
        <v>883</v>
      </c>
      <c r="C14" t="s">
        <v>929</v>
      </c>
      <c r="D14">
        <v>290</v>
      </c>
      <c r="E14">
        <v>80</v>
      </c>
      <c r="F14">
        <v>90</v>
      </c>
      <c r="G14">
        <v>315</v>
      </c>
      <c r="H14">
        <v>870</v>
      </c>
      <c r="I14">
        <v>820</v>
      </c>
      <c r="J14">
        <v>1870</v>
      </c>
      <c r="K14">
        <v>2000</v>
      </c>
      <c r="L14" s="12">
        <v>1360</v>
      </c>
    </row>
    <row r="15" spans="1:12" x14ac:dyDescent="0.3">
      <c r="A15" t="s">
        <v>612</v>
      </c>
      <c r="B15" s="4" t="s">
        <v>890</v>
      </c>
      <c r="C15" t="s">
        <v>929</v>
      </c>
      <c r="D15">
        <v>270</v>
      </c>
      <c r="E15">
        <v>330</v>
      </c>
      <c r="F15">
        <v>380</v>
      </c>
      <c r="G15">
        <v>705</v>
      </c>
      <c r="H15">
        <v>720</v>
      </c>
      <c r="I15">
        <v>760</v>
      </c>
      <c r="J15">
        <v>2245</v>
      </c>
      <c r="K15">
        <v>2400</v>
      </c>
      <c r="L15" s="12">
        <v>1660</v>
      </c>
    </row>
    <row r="16" spans="1:12" x14ac:dyDescent="0.3">
      <c r="A16" t="s">
        <v>613</v>
      </c>
      <c r="B16" s="4" t="s">
        <v>896</v>
      </c>
      <c r="C16" t="s">
        <v>929</v>
      </c>
      <c r="D16">
        <v>200</v>
      </c>
      <c r="E16">
        <v>130</v>
      </c>
      <c r="F16">
        <v>180</v>
      </c>
      <c r="G16">
        <v>500</v>
      </c>
      <c r="H16">
        <v>770</v>
      </c>
      <c r="I16">
        <v>760</v>
      </c>
      <c r="J16">
        <v>2050</v>
      </c>
      <c r="K16">
        <v>2190</v>
      </c>
      <c r="L16" s="12">
        <v>1490</v>
      </c>
    </row>
    <row r="17" spans="1:12" x14ac:dyDescent="0.3">
      <c r="A17" t="s">
        <v>614</v>
      </c>
      <c r="B17" s="4" t="s">
        <v>903</v>
      </c>
      <c r="C17" t="s">
        <v>742</v>
      </c>
      <c r="D17">
        <v>890</v>
      </c>
      <c r="E17">
        <v>700</v>
      </c>
      <c r="F17">
        <v>710</v>
      </c>
      <c r="G17">
        <v>1030</v>
      </c>
      <c r="H17">
        <v>80</v>
      </c>
      <c r="I17">
        <v>150</v>
      </c>
      <c r="J17">
        <v>2270</v>
      </c>
      <c r="K17" s="12">
        <v>2370</v>
      </c>
      <c r="L17" s="12">
        <v>1430</v>
      </c>
    </row>
    <row r="18" spans="1:12" x14ac:dyDescent="0.3">
      <c r="A18" t="s">
        <v>615</v>
      </c>
      <c r="B18" s="4" t="s">
        <v>909</v>
      </c>
      <c r="C18" t="s">
        <v>742</v>
      </c>
      <c r="D18">
        <v>970</v>
      </c>
      <c r="E18">
        <v>960</v>
      </c>
      <c r="F18">
        <v>965</v>
      </c>
      <c r="G18">
        <v>1300</v>
      </c>
      <c r="H18">
        <v>200</v>
      </c>
      <c r="I18">
        <v>360</v>
      </c>
      <c r="J18">
        <v>2525</v>
      </c>
      <c r="K18" s="12">
        <v>2640</v>
      </c>
      <c r="L18" s="12">
        <v>1650</v>
      </c>
    </row>
    <row r="19" spans="1:12" x14ac:dyDescent="0.3">
      <c r="A19" t="s">
        <v>616</v>
      </c>
      <c r="B19" s="4" t="s">
        <v>504</v>
      </c>
      <c r="C19" t="s">
        <v>742</v>
      </c>
      <c r="D19">
        <v>650</v>
      </c>
      <c r="E19">
        <v>450</v>
      </c>
      <c r="F19">
        <v>420</v>
      </c>
      <c r="G19">
        <v>750</v>
      </c>
      <c r="H19">
        <v>370</v>
      </c>
      <c r="I19">
        <v>320</v>
      </c>
      <c r="J19">
        <v>2080</v>
      </c>
      <c r="K19">
        <v>2180</v>
      </c>
      <c r="L19" s="12">
        <v>1320</v>
      </c>
    </row>
    <row r="20" spans="1:12" x14ac:dyDescent="0.3">
      <c r="A20" t="s">
        <v>617</v>
      </c>
      <c r="B20" s="4" t="s">
        <v>915</v>
      </c>
      <c r="C20" t="s">
        <v>930</v>
      </c>
      <c r="D20" s="12">
        <v>550</v>
      </c>
      <c r="E20" s="12">
        <v>870</v>
      </c>
      <c r="F20" s="12">
        <f t="shared" ref="F20" si="0">E20+43</f>
        <v>913</v>
      </c>
      <c r="G20" s="12">
        <v>890</v>
      </c>
      <c r="H20" s="12">
        <v>1500</v>
      </c>
      <c r="I20" s="12">
        <v>1535</v>
      </c>
      <c r="J20" s="12">
        <v>2350</v>
      </c>
      <c r="K20" s="12">
        <v>2500</v>
      </c>
      <c r="L20" s="12">
        <v>2080</v>
      </c>
    </row>
    <row r="21" spans="1:12" x14ac:dyDescent="0.3">
      <c r="A21" t="s">
        <v>618</v>
      </c>
      <c r="B21" s="4" t="s">
        <v>922</v>
      </c>
      <c r="C21" t="s">
        <v>931</v>
      </c>
      <c r="D21" s="12">
        <v>1450</v>
      </c>
      <c r="E21" s="12">
        <v>1460</v>
      </c>
      <c r="F21" s="12">
        <v>1445</v>
      </c>
      <c r="G21" s="12">
        <f t="shared" ref="G21" si="1">E21</f>
        <v>1460</v>
      </c>
      <c r="H21" s="12">
        <v>2200</v>
      </c>
      <c r="I21" s="12">
        <v>2100</v>
      </c>
      <c r="J21" s="12">
        <v>1330</v>
      </c>
      <c r="K21" s="12">
        <v>1460</v>
      </c>
      <c r="L21" s="12">
        <v>1680</v>
      </c>
    </row>
    <row r="22" spans="1:12" x14ac:dyDescent="0.3">
      <c r="A22" t="s">
        <v>619</v>
      </c>
      <c r="B22" s="4" t="s">
        <v>928</v>
      </c>
      <c r="C22" t="s">
        <v>931</v>
      </c>
      <c r="D22" s="12">
        <v>1500</v>
      </c>
      <c r="E22" s="12">
        <v>1420</v>
      </c>
      <c r="F22" s="12">
        <v>1410</v>
      </c>
      <c r="G22" s="12">
        <v>1050</v>
      </c>
      <c r="H22" s="12">
        <v>2160</v>
      </c>
      <c r="I22" s="12">
        <v>2060</v>
      </c>
      <c r="J22" s="12">
        <v>1220</v>
      </c>
      <c r="K22" s="12">
        <v>1365</v>
      </c>
      <c r="L22" s="12">
        <v>1570</v>
      </c>
    </row>
    <row r="23" spans="1:12" x14ac:dyDescent="0.3">
      <c r="A23" t="s">
        <v>620</v>
      </c>
      <c r="B23" s="4" t="s">
        <v>482</v>
      </c>
      <c r="C23" t="s">
        <v>740</v>
      </c>
      <c r="D23" s="12">
        <v>1800</v>
      </c>
      <c r="E23" s="12">
        <v>1810</v>
      </c>
      <c r="F23" s="12">
        <v>1770</v>
      </c>
      <c r="G23" s="12">
        <v>1440</v>
      </c>
      <c r="H23" s="12">
        <v>2535</v>
      </c>
      <c r="I23" s="12">
        <v>2435</v>
      </c>
      <c r="J23" s="12">
        <v>1400</v>
      </c>
      <c r="K23" s="12">
        <v>1500</v>
      </c>
      <c r="L23" s="12">
        <v>1910</v>
      </c>
    </row>
  </sheetData>
  <phoneticPr fontId="3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CB2FC-6AE0-4028-9AE1-DFCBB1C0F814}">
  <dimension ref="A1:AE27"/>
  <sheetViews>
    <sheetView topLeftCell="H1" workbookViewId="0">
      <selection activeCell="H22" sqref="H2:H22"/>
    </sheetView>
  </sheetViews>
  <sheetFormatPr defaultRowHeight="14.4" x14ac:dyDescent="0.3"/>
  <cols>
    <col min="7" max="8" width="25.44140625" style="1" customWidth="1"/>
    <col min="9" max="9" width="14.77734375" style="1" customWidth="1"/>
    <col min="10" max="11" width="12.33203125" style="1" customWidth="1"/>
    <col min="13" max="13" width="25.109375" customWidth="1"/>
    <col min="14" max="14" width="10.77734375" customWidth="1"/>
    <col min="16" max="16" width="15.33203125" customWidth="1"/>
    <col min="17" max="17" width="16.33203125" customWidth="1"/>
    <col min="18" max="18" width="18.44140625" customWidth="1"/>
    <col min="22" max="22" width="13.6640625" bestFit="1" customWidth="1"/>
    <col min="23" max="23" width="24.77734375" bestFit="1" customWidth="1"/>
    <col min="24" max="24" width="19.88671875" customWidth="1"/>
    <col min="25" max="25" width="10.33203125" style="1" bestFit="1" customWidth="1"/>
  </cols>
  <sheetData>
    <row r="1" spans="1:31" x14ac:dyDescent="0.3">
      <c r="B1" t="s">
        <v>0</v>
      </c>
      <c r="D1" t="s">
        <v>2</v>
      </c>
      <c r="E1" t="s">
        <v>3</v>
      </c>
      <c r="F1" t="s">
        <v>4</v>
      </c>
      <c r="G1" s="1" t="s">
        <v>5</v>
      </c>
      <c r="H1" s="1" t="s">
        <v>553</v>
      </c>
      <c r="I1" s="1">
        <v>57</v>
      </c>
      <c r="J1" s="1">
        <v>30</v>
      </c>
      <c r="K1" s="10">
        <f>I1/J1</f>
        <v>1.9</v>
      </c>
      <c r="L1" t="s">
        <v>6</v>
      </c>
      <c r="M1" t="s">
        <v>7</v>
      </c>
      <c r="N1" t="s">
        <v>8</v>
      </c>
      <c r="O1" t="s">
        <v>9</v>
      </c>
      <c r="P1" t="s">
        <v>10</v>
      </c>
      <c r="Q1" t="s">
        <v>11</v>
      </c>
      <c r="R1" t="s">
        <v>12</v>
      </c>
      <c r="S1" t="s">
        <v>13</v>
      </c>
      <c r="T1" t="s">
        <v>14</v>
      </c>
      <c r="U1" t="s">
        <v>15</v>
      </c>
      <c r="V1" t="s">
        <v>1</v>
      </c>
      <c r="W1" t="s">
        <v>16</v>
      </c>
      <c r="X1" t="s">
        <v>692</v>
      </c>
    </row>
    <row r="2" spans="1:31" s="4" customFormat="1" x14ac:dyDescent="0.3">
      <c r="A2" s="4" t="s">
        <v>600</v>
      </c>
      <c r="B2" s="4">
        <v>2019</v>
      </c>
      <c r="D2" s="4" t="s">
        <v>17</v>
      </c>
      <c r="E2" s="4" t="s">
        <v>18</v>
      </c>
      <c r="F2" s="4" t="s">
        <v>19</v>
      </c>
      <c r="G2" s="2">
        <v>1190000000</v>
      </c>
      <c r="H2" s="2">
        <f t="shared" ref="H2:H9" si="0">G2/1000</f>
        <v>1190000</v>
      </c>
      <c r="I2" s="2">
        <f>H2*$I$1</f>
        <v>67830000</v>
      </c>
      <c r="J2" s="2">
        <f>I2/$J$1</f>
        <v>2261000</v>
      </c>
      <c r="K2" s="2">
        <f>K1*H2</f>
        <v>2261000</v>
      </c>
      <c r="L2" s="4" t="s">
        <v>20</v>
      </c>
      <c r="M2" s="4" t="s">
        <v>21</v>
      </c>
      <c r="N2" s="4" t="s">
        <v>22</v>
      </c>
      <c r="O2" s="4" t="s">
        <v>23</v>
      </c>
      <c r="P2" s="4" t="s">
        <v>24</v>
      </c>
      <c r="Q2" s="4">
        <v>5.6738</v>
      </c>
      <c r="R2" s="4">
        <v>50.764600000000002</v>
      </c>
      <c r="S2" s="4" t="s">
        <v>25</v>
      </c>
      <c r="T2" s="4" t="s">
        <v>26</v>
      </c>
      <c r="U2" s="4" t="s">
        <v>27</v>
      </c>
      <c r="V2" s="4" t="s">
        <v>722</v>
      </c>
      <c r="W2" s="4" t="s">
        <v>28</v>
      </c>
      <c r="X2" s="4" t="s">
        <v>717</v>
      </c>
      <c r="Y2" s="2">
        <v>17767</v>
      </c>
    </row>
    <row r="3" spans="1:31" s="4" customFormat="1" x14ac:dyDescent="0.3">
      <c r="A3" s="4" t="s">
        <v>601</v>
      </c>
      <c r="B3" s="4">
        <v>2019</v>
      </c>
      <c r="D3" s="4" t="s">
        <v>17</v>
      </c>
      <c r="E3" s="4" t="s">
        <v>18</v>
      </c>
      <c r="F3" s="4" t="s">
        <v>19</v>
      </c>
      <c r="G3" s="2">
        <v>1480000000</v>
      </c>
      <c r="H3" s="2">
        <f t="shared" si="0"/>
        <v>1480000</v>
      </c>
      <c r="I3" s="2">
        <f t="shared" ref="I3:I22" si="1">H3*$I$1</f>
        <v>84360000</v>
      </c>
      <c r="J3" s="2">
        <f>I3/$J$1</f>
        <v>2812000</v>
      </c>
      <c r="K3" s="2">
        <f>K1*H3</f>
        <v>2812000</v>
      </c>
      <c r="L3" s="4" t="s">
        <v>20</v>
      </c>
      <c r="M3" s="4" t="s">
        <v>21</v>
      </c>
      <c r="N3" s="4" t="s">
        <v>29</v>
      </c>
      <c r="O3" s="4" t="s">
        <v>30</v>
      </c>
      <c r="P3" s="4" t="s">
        <v>31</v>
      </c>
      <c r="Q3" s="4">
        <v>3.4878</v>
      </c>
      <c r="R3" s="4">
        <v>50.601599999999998</v>
      </c>
      <c r="S3" s="4" t="s">
        <v>32</v>
      </c>
      <c r="T3" s="4" t="s">
        <v>33</v>
      </c>
      <c r="U3" s="4" t="s">
        <v>34</v>
      </c>
      <c r="V3" s="4" t="s">
        <v>722</v>
      </c>
      <c r="W3" s="4" t="s">
        <v>35</v>
      </c>
      <c r="X3" s="4" t="s">
        <v>716</v>
      </c>
      <c r="Y3" s="2">
        <v>69554</v>
      </c>
    </row>
    <row r="4" spans="1:31" s="4" customFormat="1" x14ac:dyDescent="0.3">
      <c r="A4" s="4" t="s">
        <v>602</v>
      </c>
      <c r="B4" s="4">
        <v>2019</v>
      </c>
      <c r="D4" s="4" t="s">
        <v>17</v>
      </c>
      <c r="E4" s="4" t="s">
        <v>18</v>
      </c>
      <c r="F4" s="4" t="s">
        <v>19</v>
      </c>
      <c r="G4" s="2">
        <v>1090000000</v>
      </c>
      <c r="H4" s="2">
        <f t="shared" si="0"/>
        <v>1090000</v>
      </c>
      <c r="I4" s="2">
        <f t="shared" si="1"/>
        <v>62130000</v>
      </c>
      <c r="J4" s="2"/>
      <c r="K4" s="2"/>
      <c r="L4" s="4" t="s">
        <v>20</v>
      </c>
      <c r="M4" s="4" t="s">
        <v>21</v>
      </c>
      <c r="N4" s="4" t="s">
        <v>36</v>
      </c>
      <c r="O4" s="4" t="s">
        <v>37</v>
      </c>
      <c r="P4" s="4" t="s">
        <v>38</v>
      </c>
      <c r="Q4" s="4">
        <v>3.9925000000000002</v>
      </c>
      <c r="R4" s="4">
        <v>50.472299999999997</v>
      </c>
      <c r="S4" s="4" t="s">
        <v>39</v>
      </c>
      <c r="T4" s="4" t="s">
        <v>40</v>
      </c>
      <c r="U4" s="4" t="s">
        <v>41</v>
      </c>
      <c r="V4" s="4" t="s">
        <v>722</v>
      </c>
      <c r="W4" s="4" t="s">
        <v>42</v>
      </c>
      <c r="X4" s="4" t="s">
        <v>718</v>
      </c>
      <c r="Y4" s="2">
        <v>3633</v>
      </c>
    </row>
    <row r="5" spans="1:31" s="4" customFormat="1" x14ac:dyDescent="0.3">
      <c r="A5" s="4" t="s">
        <v>603</v>
      </c>
      <c r="B5" s="4">
        <v>2019</v>
      </c>
      <c r="D5" s="4" t="s">
        <v>17</v>
      </c>
      <c r="E5" s="4" t="s">
        <v>18</v>
      </c>
      <c r="F5" s="4" t="s">
        <v>19</v>
      </c>
      <c r="G5" s="2">
        <v>1240000000</v>
      </c>
      <c r="H5" s="2">
        <f t="shared" si="0"/>
        <v>1240000</v>
      </c>
      <c r="I5" s="2">
        <f t="shared" si="1"/>
        <v>70680000</v>
      </c>
      <c r="J5" s="2"/>
      <c r="K5" s="2"/>
      <c r="L5" s="4" t="s">
        <v>20</v>
      </c>
      <c r="M5" s="4" t="s">
        <v>21</v>
      </c>
      <c r="N5" s="4" t="s">
        <v>99</v>
      </c>
      <c r="O5" s="4" t="s">
        <v>100</v>
      </c>
      <c r="P5" s="4" t="s">
        <v>101</v>
      </c>
      <c r="Q5" s="4">
        <v>33.316400000000002</v>
      </c>
      <c r="R5" s="4">
        <v>34.721699999999998</v>
      </c>
      <c r="S5" s="4" t="s">
        <v>102</v>
      </c>
      <c r="U5" s="4" t="s">
        <v>103</v>
      </c>
      <c r="V5" s="4" t="s">
        <v>725</v>
      </c>
      <c r="W5" s="4" t="s">
        <v>104</v>
      </c>
      <c r="X5" s="4" t="s">
        <v>104</v>
      </c>
      <c r="Y5" s="2">
        <v>51468</v>
      </c>
    </row>
    <row r="6" spans="1:31" s="4" customFormat="1" x14ac:dyDescent="0.3">
      <c r="A6" s="4" t="s">
        <v>604</v>
      </c>
      <c r="B6" s="4">
        <v>2019</v>
      </c>
      <c r="D6" s="4" t="s">
        <v>17</v>
      </c>
      <c r="E6" s="4" t="s">
        <v>18</v>
      </c>
      <c r="F6" s="4" t="s">
        <v>19</v>
      </c>
      <c r="G6" s="2">
        <v>2189152000</v>
      </c>
      <c r="H6" s="2">
        <f t="shared" si="0"/>
        <v>2189152</v>
      </c>
      <c r="I6" s="2">
        <f t="shared" si="1"/>
        <v>124781664</v>
      </c>
      <c r="J6" s="2"/>
      <c r="K6" s="2"/>
      <c r="L6" s="4" t="s">
        <v>20</v>
      </c>
      <c r="M6" s="4" t="s">
        <v>21</v>
      </c>
      <c r="N6" s="4" t="s">
        <v>135</v>
      </c>
      <c r="O6" s="4" t="s">
        <v>136</v>
      </c>
      <c r="P6" s="4" t="s">
        <v>136</v>
      </c>
      <c r="Q6" s="4">
        <v>9.9727836904086793</v>
      </c>
      <c r="R6" s="4">
        <v>57.063241332579402</v>
      </c>
      <c r="S6" s="4" t="s">
        <v>137</v>
      </c>
      <c r="T6" s="4" t="s">
        <v>138</v>
      </c>
      <c r="U6" s="4" t="s">
        <v>139</v>
      </c>
      <c r="V6" s="4" t="s">
        <v>729</v>
      </c>
      <c r="W6" s="4" t="s">
        <v>140</v>
      </c>
      <c r="X6" s="4" t="s">
        <v>728</v>
      </c>
      <c r="Y6" s="2">
        <v>211684</v>
      </c>
    </row>
    <row r="7" spans="1:31" s="4" customFormat="1" x14ac:dyDescent="0.3">
      <c r="A7" s="4" t="s">
        <v>605</v>
      </c>
      <c r="B7" s="4">
        <v>2019</v>
      </c>
      <c r="D7" s="4" t="s">
        <v>17</v>
      </c>
      <c r="E7" s="4" t="s">
        <v>18</v>
      </c>
      <c r="F7" s="4" t="s">
        <v>19</v>
      </c>
      <c r="G7" s="2">
        <v>990000000</v>
      </c>
      <c r="H7" s="2">
        <f t="shared" si="0"/>
        <v>990000</v>
      </c>
      <c r="I7" s="2">
        <f t="shared" si="1"/>
        <v>56430000</v>
      </c>
      <c r="J7" s="2"/>
      <c r="K7" s="2"/>
      <c r="L7" s="4" t="s">
        <v>20</v>
      </c>
      <c r="M7" s="4" t="s">
        <v>21</v>
      </c>
      <c r="N7" s="4" t="s">
        <v>198</v>
      </c>
      <c r="O7" s="4" t="s">
        <v>187</v>
      </c>
      <c r="P7" s="4" t="s">
        <v>199</v>
      </c>
      <c r="Q7" s="4">
        <v>-3.4743400000000002</v>
      </c>
      <c r="R7" s="4">
        <v>40.24483</v>
      </c>
      <c r="S7" s="4" t="s">
        <v>200</v>
      </c>
      <c r="T7" s="4" t="s">
        <v>201</v>
      </c>
      <c r="U7" s="4" t="s">
        <v>202</v>
      </c>
      <c r="V7" s="4" t="s">
        <v>732</v>
      </c>
      <c r="W7" s="4" t="s">
        <v>203</v>
      </c>
      <c r="X7" s="4" t="s">
        <v>203</v>
      </c>
      <c r="Y7" s="2">
        <v>7553</v>
      </c>
    </row>
    <row r="8" spans="1:31" s="4" customFormat="1" x14ac:dyDescent="0.3">
      <c r="A8" s="4" t="s">
        <v>606</v>
      </c>
      <c r="B8" s="4">
        <v>2019</v>
      </c>
      <c r="D8" s="4" t="s">
        <v>17</v>
      </c>
      <c r="E8" s="4" t="s">
        <v>18</v>
      </c>
      <c r="F8" s="4" t="s">
        <v>19</v>
      </c>
      <c r="G8" s="2">
        <v>909000000</v>
      </c>
      <c r="H8" s="2">
        <f t="shared" si="0"/>
        <v>909000</v>
      </c>
      <c r="I8" s="2">
        <f t="shared" si="1"/>
        <v>51813000</v>
      </c>
      <c r="J8" s="2"/>
      <c r="K8" s="2"/>
      <c r="L8" s="4" t="s">
        <v>20</v>
      </c>
      <c r="M8" s="4" t="s">
        <v>21</v>
      </c>
      <c r="N8" s="4" t="s">
        <v>357</v>
      </c>
      <c r="O8" s="4" t="s">
        <v>330</v>
      </c>
      <c r="P8" s="4" t="s">
        <v>358</v>
      </c>
      <c r="Q8" s="4">
        <v>2.1261399999999999</v>
      </c>
      <c r="R8" s="4">
        <v>43.231119999999997</v>
      </c>
      <c r="S8" s="4" t="s">
        <v>359</v>
      </c>
      <c r="U8" s="4" t="s">
        <v>360</v>
      </c>
      <c r="V8" s="4" t="s">
        <v>736</v>
      </c>
      <c r="W8" s="4" t="s">
        <v>361</v>
      </c>
      <c r="X8" s="4" t="s">
        <v>361</v>
      </c>
      <c r="Y8" s="2">
        <v>3387</v>
      </c>
    </row>
    <row r="9" spans="1:31" s="4" customFormat="1" x14ac:dyDescent="0.3">
      <c r="A9" s="4" t="s">
        <v>607</v>
      </c>
      <c r="B9" s="4">
        <v>2019</v>
      </c>
      <c r="D9" s="4" t="s">
        <v>17</v>
      </c>
      <c r="E9" s="4" t="s">
        <v>18</v>
      </c>
      <c r="F9" s="4" t="s">
        <v>19</v>
      </c>
      <c r="G9" s="2">
        <v>1019000000</v>
      </c>
      <c r="H9" s="2">
        <f t="shared" si="0"/>
        <v>1019000</v>
      </c>
      <c r="I9" s="2">
        <f t="shared" si="1"/>
        <v>58083000</v>
      </c>
      <c r="J9" s="2"/>
      <c r="K9" s="2"/>
      <c r="L9" s="4" t="s">
        <v>20</v>
      </c>
      <c r="M9" s="4" t="s">
        <v>21</v>
      </c>
      <c r="N9" s="4" t="s">
        <v>382</v>
      </c>
      <c r="O9" s="4" t="s">
        <v>383</v>
      </c>
      <c r="P9" s="4" t="s">
        <v>384</v>
      </c>
      <c r="Q9" s="4">
        <v>-1.0358799999999999</v>
      </c>
      <c r="R9" s="4">
        <v>48.108719999999998</v>
      </c>
      <c r="S9" s="4" t="s">
        <v>385</v>
      </c>
      <c r="U9" s="4" t="s">
        <v>386</v>
      </c>
      <c r="V9" s="4" t="s">
        <v>736</v>
      </c>
      <c r="W9" s="4" t="s">
        <v>387</v>
      </c>
      <c r="X9" s="4" t="s">
        <v>387</v>
      </c>
      <c r="Y9" s="2">
        <v>2136</v>
      </c>
    </row>
    <row r="10" spans="1:31" x14ac:dyDescent="0.3">
      <c r="A10" s="4" t="s">
        <v>608</v>
      </c>
      <c r="B10" s="4">
        <v>2019</v>
      </c>
      <c r="D10" s="4" t="s">
        <v>845</v>
      </c>
      <c r="E10" s="4" t="s">
        <v>18</v>
      </c>
      <c r="F10" s="4" t="s">
        <v>19</v>
      </c>
      <c r="G10" s="2">
        <v>1500000000</v>
      </c>
      <c r="H10" s="2">
        <f t="shared" ref="H10:H21" si="2">G10/1000</f>
        <v>1500000</v>
      </c>
      <c r="I10" s="2">
        <f t="shared" si="1"/>
        <v>85500000</v>
      </c>
      <c r="J10" s="2"/>
      <c r="K10" s="2"/>
      <c r="L10" s="11" t="s">
        <v>856</v>
      </c>
      <c r="M10" s="11" t="s">
        <v>857</v>
      </c>
      <c r="N10" s="11" t="s">
        <v>858</v>
      </c>
      <c r="O10" s="11" t="s">
        <v>859</v>
      </c>
      <c r="P10" s="11" t="s">
        <v>860</v>
      </c>
      <c r="Q10" s="11">
        <v>23.52458</v>
      </c>
      <c r="R10" s="11">
        <v>38.130180000000003</v>
      </c>
      <c r="S10" s="11" t="s">
        <v>861</v>
      </c>
      <c r="T10" s="11" t="s">
        <v>862</v>
      </c>
      <c r="U10" s="11" t="s">
        <v>863</v>
      </c>
      <c r="V10" s="11" t="s">
        <v>864</v>
      </c>
      <c r="W10" s="11" t="s">
        <v>865</v>
      </c>
      <c r="X10" s="11"/>
      <c r="Y10" s="11"/>
      <c r="Z10" s="11"/>
      <c r="AA10" s="11"/>
    </row>
    <row r="11" spans="1:31" x14ac:dyDescent="0.3">
      <c r="A11" s="4" t="s">
        <v>609</v>
      </c>
      <c r="B11" s="4">
        <v>2019</v>
      </c>
      <c r="D11" s="4" t="s">
        <v>846</v>
      </c>
      <c r="E11" s="4" t="s">
        <v>18</v>
      </c>
      <c r="F11" s="4" t="s">
        <v>19</v>
      </c>
      <c r="G11" s="2">
        <v>1250000000</v>
      </c>
      <c r="H11" s="2">
        <f t="shared" si="2"/>
        <v>1250000</v>
      </c>
      <c r="I11" s="2">
        <f t="shared" si="1"/>
        <v>71250000</v>
      </c>
      <c r="J11" s="2"/>
      <c r="K11" s="2"/>
      <c r="L11" s="11" t="s">
        <v>856</v>
      </c>
      <c r="M11" s="11" t="s">
        <v>857</v>
      </c>
      <c r="N11" s="11" t="s">
        <v>866</v>
      </c>
      <c r="O11" s="11" t="s">
        <v>867</v>
      </c>
      <c r="P11" s="11" t="s">
        <v>868</v>
      </c>
      <c r="Q11" s="11">
        <v>22.984500000000001</v>
      </c>
      <c r="R11" s="11">
        <v>39.351709999999997</v>
      </c>
      <c r="S11" s="11" t="s">
        <v>869</v>
      </c>
      <c r="T11" s="11" t="s">
        <v>862</v>
      </c>
      <c r="U11" s="11" t="s">
        <v>870</v>
      </c>
      <c r="V11" s="11" t="s">
        <v>864</v>
      </c>
      <c r="W11" s="11" t="s">
        <v>871</v>
      </c>
      <c r="X11" s="11"/>
      <c r="Y11" s="11"/>
      <c r="Z11" s="11"/>
      <c r="AA11" s="11"/>
      <c r="AB11" s="11"/>
      <c r="AC11" s="11"/>
      <c r="AD11" s="11"/>
      <c r="AE11" s="11"/>
    </row>
    <row r="12" spans="1:31" x14ac:dyDescent="0.3">
      <c r="A12" s="4" t="s">
        <v>610</v>
      </c>
      <c r="B12" s="4">
        <v>2019</v>
      </c>
      <c r="D12" s="4" t="s">
        <v>847</v>
      </c>
      <c r="E12" s="4" t="s">
        <v>18</v>
      </c>
      <c r="F12" s="4" t="s">
        <v>19</v>
      </c>
      <c r="G12" s="2">
        <v>1550000000</v>
      </c>
      <c r="H12" s="2">
        <f t="shared" si="2"/>
        <v>1550000</v>
      </c>
      <c r="I12" s="2">
        <f t="shared" si="1"/>
        <v>88350000</v>
      </c>
      <c r="J12" s="2"/>
      <c r="K12" s="2"/>
      <c r="L12" s="11" t="s">
        <v>856</v>
      </c>
      <c r="M12" s="11" t="s">
        <v>857</v>
      </c>
      <c r="N12" s="11" t="s">
        <v>872</v>
      </c>
      <c r="O12" s="11" t="s">
        <v>873</v>
      </c>
      <c r="P12" s="11" t="s">
        <v>873</v>
      </c>
      <c r="Q12" s="11">
        <v>18.926387786865199</v>
      </c>
      <c r="R12" s="11">
        <v>51.103054046630902</v>
      </c>
      <c r="S12" s="11" t="s">
        <v>874</v>
      </c>
      <c r="T12" s="11" t="s">
        <v>875</v>
      </c>
      <c r="U12" s="11" t="s">
        <v>876</v>
      </c>
      <c r="V12" s="4" t="s">
        <v>929</v>
      </c>
      <c r="W12" s="11" t="s">
        <v>877</v>
      </c>
      <c r="X12" s="11"/>
      <c r="Y12" s="11"/>
      <c r="Z12" s="11"/>
      <c r="AA12" s="11"/>
    </row>
    <row r="13" spans="1:31" x14ac:dyDescent="0.3">
      <c r="A13" s="4" t="s">
        <v>611</v>
      </c>
      <c r="B13" s="4">
        <v>2019</v>
      </c>
      <c r="D13" s="4" t="s">
        <v>848</v>
      </c>
      <c r="E13" s="4" t="s">
        <v>18</v>
      </c>
      <c r="F13" s="4" t="s">
        <v>19</v>
      </c>
      <c r="G13" s="2">
        <v>2880000000</v>
      </c>
      <c r="H13" s="2">
        <f t="shared" si="2"/>
        <v>2880000</v>
      </c>
      <c r="I13" s="2">
        <f t="shared" si="1"/>
        <v>164160000</v>
      </c>
      <c r="J13" s="2"/>
      <c r="K13" s="2"/>
      <c r="L13" s="11" t="s">
        <v>856</v>
      </c>
      <c r="M13" s="11" t="s">
        <v>857</v>
      </c>
      <c r="N13" s="11" t="s">
        <v>878</v>
      </c>
      <c r="O13" s="11" t="s">
        <v>879</v>
      </c>
      <c r="P13" s="11" t="s">
        <v>880</v>
      </c>
      <c r="Q13" s="11">
        <v>17.977722222222202</v>
      </c>
      <c r="R13" s="11">
        <v>50.5348055555556</v>
      </c>
      <c r="S13" s="11" t="s">
        <v>881</v>
      </c>
      <c r="T13" s="11" t="s">
        <v>441</v>
      </c>
      <c r="U13" s="11" t="s">
        <v>882</v>
      </c>
      <c r="V13" s="4" t="s">
        <v>929</v>
      </c>
      <c r="W13" s="11" t="s">
        <v>883</v>
      </c>
      <c r="X13" s="11"/>
      <c r="Y13" s="11"/>
      <c r="Z13" s="11"/>
      <c r="AA13" s="11"/>
    </row>
    <row r="14" spans="1:31" x14ac:dyDescent="0.3">
      <c r="A14" s="4" t="s">
        <v>612</v>
      </c>
      <c r="B14" s="4">
        <v>2019</v>
      </c>
      <c r="D14" s="4" t="s">
        <v>849</v>
      </c>
      <c r="E14" s="4" t="s">
        <v>18</v>
      </c>
      <c r="F14" s="4" t="s">
        <v>19</v>
      </c>
      <c r="G14" s="2">
        <v>1150000000</v>
      </c>
      <c r="H14" s="2">
        <f t="shared" si="2"/>
        <v>1150000</v>
      </c>
      <c r="I14" s="2">
        <f t="shared" si="1"/>
        <v>65550000</v>
      </c>
      <c r="J14" s="2"/>
      <c r="K14" s="2"/>
      <c r="L14" s="11" t="s">
        <v>856</v>
      </c>
      <c r="M14" s="11" t="s">
        <v>857</v>
      </c>
      <c r="N14" s="11" t="s">
        <v>884</v>
      </c>
      <c r="O14" s="11" t="s">
        <v>885</v>
      </c>
      <c r="P14" s="11" t="s">
        <v>886</v>
      </c>
      <c r="Q14" s="11">
        <v>23.544357299804702</v>
      </c>
      <c r="R14" s="11">
        <v>51.137172698974602</v>
      </c>
      <c r="S14" s="11" t="s">
        <v>887</v>
      </c>
      <c r="T14" s="11" t="s">
        <v>888</v>
      </c>
      <c r="U14" s="11" t="s">
        <v>889</v>
      </c>
      <c r="V14" s="4" t="s">
        <v>929</v>
      </c>
      <c r="W14" s="11" t="s">
        <v>890</v>
      </c>
      <c r="X14" s="11"/>
      <c r="Y14" s="11"/>
      <c r="Z14" s="11"/>
      <c r="AA14" s="11"/>
    </row>
    <row r="15" spans="1:31" x14ac:dyDescent="0.3">
      <c r="A15" s="4" t="s">
        <v>613</v>
      </c>
      <c r="B15" s="4">
        <v>2019</v>
      </c>
      <c r="D15" s="4" t="s">
        <v>850</v>
      </c>
      <c r="E15" s="4" t="s">
        <v>18</v>
      </c>
      <c r="F15" s="4" t="s">
        <v>19</v>
      </c>
      <c r="G15" s="2">
        <v>1040000000</v>
      </c>
      <c r="H15" s="2">
        <f t="shared" si="2"/>
        <v>1040000</v>
      </c>
      <c r="I15" s="2">
        <f t="shared" si="1"/>
        <v>59280000</v>
      </c>
      <c r="J15" s="2"/>
      <c r="K15" s="2"/>
      <c r="L15" s="11" t="s">
        <v>856</v>
      </c>
      <c r="M15" s="11" t="s">
        <v>857</v>
      </c>
      <c r="N15" s="11" t="s">
        <v>891</v>
      </c>
      <c r="O15" s="11" t="s">
        <v>892</v>
      </c>
      <c r="P15" s="11" t="s">
        <v>892</v>
      </c>
      <c r="Q15" s="11">
        <v>20.522222518920898</v>
      </c>
      <c r="R15" s="11">
        <v>50.806941986083999</v>
      </c>
      <c r="S15" s="11" t="s">
        <v>893</v>
      </c>
      <c r="T15" s="11" t="s">
        <v>894</v>
      </c>
      <c r="U15" s="11" t="s">
        <v>895</v>
      </c>
      <c r="V15" s="4" t="s">
        <v>929</v>
      </c>
      <c r="W15" s="11" t="s">
        <v>896</v>
      </c>
      <c r="X15" s="11"/>
      <c r="Y15" s="11"/>
      <c r="Z15" s="11"/>
      <c r="AA15" s="11"/>
    </row>
    <row r="16" spans="1:31" x14ac:dyDescent="0.3">
      <c r="A16" s="4" t="s">
        <v>614</v>
      </c>
      <c r="B16" s="4">
        <v>2019</v>
      </c>
      <c r="D16" s="4" t="s">
        <v>851</v>
      </c>
      <c r="E16" s="4" t="s">
        <v>18</v>
      </c>
      <c r="F16" s="4" t="s">
        <v>19</v>
      </c>
      <c r="G16" s="2">
        <v>1040000000</v>
      </c>
      <c r="H16" s="2">
        <f t="shared" si="2"/>
        <v>1040000</v>
      </c>
      <c r="I16" s="2">
        <f t="shared" si="1"/>
        <v>59280000</v>
      </c>
      <c r="J16" s="2"/>
      <c r="K16" s="2"/>
      <c r="L16" s="11" t="s">
        <v>897</v>
      </c>
      <c r="M16" s="11" t="s">
        <v>898</v>
      </c>
      <c r="N16" s="11" t="s">
        <v>899</v>
      </c>
      <c r="O16" s="11" t="s">
        <v>900</v>
      </c>
      <c r="P16" s="11" t="s">
        <v>901</v>
      </c>
      <c r="Q16" s="11">
        <v>25.111027700000001</v>
      </c>
      <c r="R16" s="11">
        <v>45.2901138</v>
      </c>
      <c r="S16" s="11" t="s">
        <v>491</v>
      </c>
      <c r="T16" s="11"/>
      <c r="U16" s="11" t="s">
        <v>902</v>
      </c>
      <c r="V16" s="4" t="s">
        <v>742</v>
      </c>
      <c r="W16" s="11" t="s">
        <v>903</v>
      </c>
      <c r="X16" s="11"/>
      <c r="Y16" s="11"/>
      <c r="Z16" s="11"/>
      <c r="AA16" s="11"/>
    </row>
    <row r="17" spans="1:27" x14ac:dyDescent="0.3">
      <c r="A17" s="4" t="s">
        <v>615</v>
      </c>
      <c r="B17" s="4">
        <v>2019</v>
      </c>
      <c r="D17" s="4" t="s">
        <v>852</v>
      </c>
      <c r="E17" s="4" t="s">
        <v>18</v>
      </c>
      <c r="F17" s="4" t="s">
        <v>19</v>
      </c>
      <c r="G17" s="2">
        <v>943000000</v>
      </c>
      <c r="H17" s="2">
        <f t="shared" si="2"/>
        <v>943000</v>
      </c>
      <c r="I17" s="2">
        <f t="shared" si="1"/>
        <v>53751000</v>
      </c>
      <c r="J17" s="2"/>
      <c r="K17" s="2"/>
      <c r="L17" s="11" t="s">
        <v>897</v>
      </c>
      <c r="M17" s="11" t="s">
        <v>898</v>
      </c>
      <c r="N17" s="11" t="s">
        <v>904</v>
      </c>
      <c r="O17" s="11" t="s">
        <v>905</v>
      </c>
      <c r="P17" s="11" t="s">
        <v>906</v>
      </c>
      <c r="Q17" s="11">
        <v>28.307912999999999</v>
      </c>
      <c r="R17" s="11">
        <v>44.241846000000002</v>
      </c>
      <c r="S17" s="11" t="s">
        <v>907</v>
      </c>
      <c r="T17" s="11"/>
      <c r="U17" s="11" t="s">
        <v>908</v>
      </c>
      <c r="V17" s="4" t="s">
        <v>742</v>
      </c>
      <c r="W17" s="11" t="s">
        <v>909</v>
      </c>
      <c r="X17" s="11"/>
      <c r="Y17" s="11"/>
      <c r="Z17" s="11"/>
      <c r="AA17" s="11"/>
    </row>
    <row r="18" spans="1:27" s="4" customFormat="1" x14ac:dyDescent="0.3">
      <c r="A18" s="4" t="s">
        <v>616</v>
      </c>
      <c r="B18" s="4">
        <v>2019</v>
      </c>
      <c r="D18" s="4" t="s">
        <v>17</v>
      </c>
      <c r="E18" s="4" t="s">
        <v>18</v>
      </c>
      <c r="F18" s="4" t="s">
        <v>19</v>
      </c>
      <c r="G18" s="2">
        <v>1050000000</v>
      </c>
      <c r="H18" s="2">
        <f>G18/1000</f>
        <v>1050000</v>
      </c>
      <c r="I18" s="2">
        <f t="shared" si="1"/>
        <v>59850000</v>
      </c>
      <c r="J18" s="2"/>
      <c r="K18" s="2"/>
      <c r="L18" s="4" t="s">
        <v>20</v>
      </c>
      <c r="M18" s="4" t="s">
        <v>21</v>
      </c>
      <c r="N18" s="4" t="s">
        <v>499</v>
      </c>
      <c r="O18" s="4" t="s">
        <v>500</v>
      </c>
      <c r="P18" s="4" t="s">
        <v>501</v>
      </c>
      <c r="Q18" s="4">
        <v>22.331876000000001</v>
      </c>
      <c r="R18" s="4">
        <v>47.038682000000001</v>
      </c>
      <c r="S18" s="4" t="s">
        <v>502</v>
      </c>
      <c r="U18" s="4" t="s">
        <v>503</v>
      </c>
      <c r="V18" s="4" t="s">
        <v>742</v>
      </c>
      <c r="W18" s="4" t="s">
        <v>504</v>
      </c>
      <c r="X18" s="4" t="s">
        <v>504</v>
      </c>
      <c r="Y18" s="2">
        <v>3561</v>
      </c>
    </row>
    <row r="19" spans="1:27" x14ac:dyDescent="0.3">
      <c r="A19" s="4" t="s">
        <v>617</v>
      </c>
      <c r="B19" s="4">
        <v>2019</v>
      </c>
      <c r="D19" s="4" t="s">
        <v>853</v>
      </c>
      <c r="E19" s="4" t="s">
        <v>18</v>
      </c>
      <c r="F19" s="4" t="s">
        <v>19</v>
      </c>
      <c r="G19" s="2">
        <v>1540000000</v>
      </c>
      <c r="H19" s="2">
        <f t="shared" si="2"/>
        <v>1540000</v>
      </c>
      <c r="I19" s="2">
        <f t="shared" si="1"/>
        <v>87780000</v>
      </c>
      <c r="J19" s="2"/>
      <c r="K19" s="2"/>
      <c r="L19" s="11" t="s">
        <v>856</v>
      </c>
      <c r="M19" s="11" t="s">
        <v>857</v>
      </c>
      <c r="N19" s="11" t="s">
        <v>910</v>
      </c>
      <c r="O19" s="11" t="s">
        <v>911</v>
      </c>
      <c r="P19" s="11" t="s">
        <v>912</v>
      </c>
      <c r="Q19" s="11">
        <v>18.805389999999999</v>
      </c>
      <c r="R19" s="11">
        <v>57.71172</v>
      </c>
      <c r="S19" s="11" t="s">
        <v>913</v>
      </c>
      <c r="T19" s="11"/>
      <c r="U19" s="11" t="s">
        <v>914</v>
      </c>
      <c r="V19" s="4" t="s">
        <v>930</v>
      </c>
      <c r="W19" s="11" t="s">
        <v>915</v>
      </c>
      <c r="X19" s="11"/>
      <c r="Y19" s="11"/>
      <c r="Z19" s="11"/>
      <c r="AA19" s="11"/>
    </row>
    <row r="20" spans="1:27" x14ac:dyDescent="0.3">
      <c r="A20" s="4" t="s">
        <v>618</v>
      </c>
      <c r="B20" s="4">
        <v>2019</v>
      </c>
      <c r="D20" s="4" t="s">
        <v>854</v>
      </c>
      <c r="E20" s="4" t="s">
        <v>18</v>
      </c>
      <c r="F20" s="4" t="s">
        <v>19</v>
      </c>
      <c r="G20" s="2">
        <v>1084184000</v>
      </c>
      <c r="H20" s="2">
        <f t="shared" si="2"/>
        <v>1084184</v>
      </c>
      <c r="I20" s="2">
        <f t="shared" si="1"/>
        <v>61798488</v>
      </c>
      <c r="J20" s="2"/>
      <c r="K20" s="2"/>
      <c r="L20" s="11" t="s">
        <v>856</v>
      </c>
      <c r="M20" s="11" t="s">
        <v>857</v>
      </c>
      <c r="N20" s="11" t="s">
        <v>916</v>
      </c>
      <c r="O20" s="11" t="s">
        <v>917</v>
      </c>
      <c r="P20" s="11" t="s">
        <v>918</v>
      </c>
      <c r="Q20" s="11">
        <v>-1.7538125</v>
      </c>
      <c r="R20" s="11">
        <v>53.338700000000003</v>
      </c>
      <c r="S20" s="11" t="s">
        <v>919</v>
      </c>
      <c r="T20" s="11" t="s">
        <v>920</v>
      </c>
      <c r="U20" s="11" t="s">
        <v>921</v>
      </c>
      <c r="V20" s="4" t="s">
        <v>931</v>
      </c>
      <c r="W20" s="11" t="s">
        <v>922</v>
      </c>
      <c r="X20" s="11"/>
      <c r="Y20" s="11"/>
      <c r="Z20" s="11"/>
      <c r="AA20" s="11"/>
    </row>
    <row r="21" spans="1:27" x14ac:dyDescent="0.3">
      <c r="A21" s="4" t="s">
        <v>619</v>
      </c>
      <c r="B21" s="4">
        <v>2019</v>
      </c>
      <c r="D21" s="4" t="s">
        <v>855</v>
      </c>
      <c r="E21" s="4" t="s">
        <v>18</v>
      </c>
      <c r="F21" s="4" t="s">
        <v>19</v>
      </c>
      <c r="G21" s="2">
        <v>1180000000</v>
      </c>
      <c r="H21" s="2">
        <f t="shared" si="2"/>
        <v>1180000</v>
      </c>
      <c r="I21" s="2">
        <f t="shared" si="1"/>
        <v>67260000</v>
      </c>
      <c r="J21" s="2"/>
      <c r="K21" s="2"/>
      <c r="L21" s="11" t="s">
        <v>856</v>
      </c>
      <c r="M21" s="11" t="s">
        <v>857</v>
      </c>
      <c r="N21" s="11" t="s">
        <v>923</v>
      </c>
      <c r="O21" s="11" t="s">
        <v>924</v>
      </c>
      <c r="P21" s="11" t="s">
        <v>925</v>
      </c>
      <c r="Q21" s="11">
        <v>-1.2863180999999999</v>
      </c>
      <c r="R21" s="11">
        <v>52.377094</v>
      </c>
      <c r="S21" s="11" t="s">
        <v>926</v>
      </c>
      <c r="T21" s="11" t="s">
        <v>925</v>
      </c>
      <c r="U21" s="11" t="s">
        <v>927</v>
      </c>
      <c r="V21" s="4" t="s">
        <v>931</v>
      </c>
      <c r="W21" s="11" t="s">
        <v>928</v>
      </c>
      <c r="X21" s="11"/>
      <c r="Y21" s="11"/>
      <c r="Z21" s="11"/>
      <c r="AA21" s="11"/>
    </row>
    <row r="22" spans="1:27" s="4" customFormat="1" x14ac:dyDescent="0.3">
      <c r="A22" s="4" t="s">
        <v>620</v>
      </c>
      <c r="B22" s="4">
        <v>2019</v>
      </c>
      <c r="D22" s="4" t="s">
        <v>17</v>
      </c>
      <c r="E22" s="4" t="s">
        <v>18</v>
      </c>
      <c r="F22" s="4" t="s">
        <v>19</v>
      </c>
      <c r="G22" s="2">
        <v>1056451000</v>
      </c>
      <c r="H22" s="2">
        <f>G22/1000</f>
        <v>1056451</v>
      </c>
      <c r="I22" s="2">
        <f t="shared" si="1"/>
        <v>60217707</v>
      </c>
      <c r="J22" s="2"/>
      <c r="K22" s="2"/>
      <c r="L22" s="4" t="s">
        <v>20</v>
      </c>
      <c r="M22" s="4" t="s">
        <v>21</v>
      </c>
      <c r="N22" s="4" t="s">
        <v>479</v>
      </c>
      <c r="O22" s="4" t="s">
        <v>474</v>
      </c>
      <c r="P22" s="4" t="s">
        <v>480</v>
      </c>
      <c r="Q22" s="4">
        <v>-6.3866719999999999</v>
      </c>
      <c r="R22" s="4">
        <v>53.684593999999997</v>
      </c>
      <c r="S22" s="4" t="s">
        <v>481</v>
      </c>
      <c r="T22" s="4" t="s">
        <v>477</v>
      </c>
      <c r="V22" s="4" t="s">
        <v>740</v>
      </c>
      <c r="W22" s="4" t="s">
        <v>482</v>
      </c>
      <c r="X22" s="4" t="s">
        <v>482</v>
      </c>
      <c r="Y22" s="2">
        <v>195044</v>
      </c>
    </row>
    <row r="23" spans="1:27" x14ac:dyDescent="0.3">
      <c r="G23" s="1">
        <f>SUM(G2:G22)</f>
        <v>27370787000</v>
      </c>
    </row>
    <row r="24" spans="1:27" x14ac:dyDescent="0.3">
      <c r="G24" s="1">
        <f>G23*30</f>
        <v>821123610000</v>
      </c>
    </row>
    <row r="26" spans="1:27" x14ac:dyDescent="0.3">
      <c r="G26" s="1">
        <v>1364600239</v>
      </c>
      <c r="H26" s="1">
        <v>14439111</v>
      </c>
    </row>
    <row r="27" spans="1:27" x14ac:dyDescent="0.3">
      <c r="G27" s="1">
        <f>G26/50</f>
        <v>27292004.780000001</v>
      </c>
      <c r="H27" s="1">
        <f>H26+G26</f>
        <v>1379039350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52AC8-4718-49EE-81C0-2F3E1408AE3E}">
  <dimension ref="A1:P39"/>
  <sheetViews>
    <sheetView topLeftCell="G1" workbookViewId="0">
      <selection activeCell="A7" sqref="A7:XFD7"/>
    </sheetView>
  </sheetViews>
  <sheetFormatPr defaultRowHeight="14.4" x14ac:dyDescent="0.3"/>
  <cols>
    <col min="2" max="2" width="16.33203125" bestFit="1" customWidth="1"/>
    <col min="3" max="3" width="17.33203125" bestFit="1" customWidth="1"/>
    <col min="4" max="4" width="29.5546875" bestFit="1" customWidth="1"/>
    <col min="5" max="6" width="23.21875" customWidth="1"/>
    <col min="7" max="7" width="11.33203125" style="9" bestFit="1" customWidth="1"/>
    <col min="8" max="8" width="11.33203125" style="9" customWidth="1"/>
    <col min="9" max="9" width="16.21875" bestFit="1" customWidth="1"/>
    <col min="10" max="10" width="18.109375" style="9" bestFit="1" customWidth="1"/>
    <col min="12" max="12" width="12.88671875" bestFit="1" customWidth="1"/>
    <col min="13" max="14" width="11.44140625" style="1" customWidth="1"/>
    <col min="15" max="15" width="27" bestFit="1" customWidth="1"/>
    <col min="16" max="16" width="16.33203125" style="9" bestFit="1" customWidth="1"/>
  </cols>
  <sheetData>
    <row r="1" spans="1:15" x14ac:dyDescent="0.3">
      <c r="B1" t="s">
        <v>775</v>
      </c>
      <c r="C1" t="s">
        <v>746</v>
      </c>
      <c r="D1" t="s">
        <v>748</v>
      </c>
      <c r="E1" t="s">
        <v>824</v>
      </c>
      <c r="F1" t="s">
        <v>16</v>
      </c>
      <c r="G1" s="9" t="s">
        <v>750</v>
      </c>
      <c r="H1" s="9" t="s">
        <v>757</v>
      </c>
      <c r="I1" t="s">
        <v>747</v>
      </c>
      <c r="J1" s="9" t="s">
        <v>816</v>
      </c>
      <c r="K1" s="9" t="s">
        <v>932</v>
      </c>
      <c r="M1" s="1">
        <v>20</v>
      </c>
      <c r="O1" t="s">
        <v>772</v>
      </c>
    </row>
    <row r="2" spans="1:15" x14ac:dyDescent="0.3">
      <c r="A2" t="s">
        <v>577</v>
      </c>
      <c r="B2" t="s">
        <v>777</v>
      </c>
      <c r="C2" t="s">
        <v>554</v>
      </c>
      <c r="D2" t="s">
        <v>815</v>
      </c>
      <c r="E2" t="s">
        <v>820</v>
      </c>
      <c r="F2" t="s">
        <v>822</v>
      </c>
      <c r="G2" s="9">
        <v>5385000</v>
      </c>
      <c r="H2" s="9" t="s">
        <v>758</v>
      </c>
      <c r="I2" t="s">
        <v>751</v>
      </c>
      <c r="J2" s="9">
        <v>260000000</v>
      </c>
      <c r="K2">
        <v>30</v>
      </c>
      <c r="L2" s="13">
        <f>J2/$K$2</f>
        <v>8666666.666666666</v>
      </c>
      <c r="M2" s="1">
        <f>L2/M1</f>
        <v>433333.33333333331</v>
      </c>
      <c r="O2" t="s">
        <v>773</v>
      </c>
    </row>
    <row r="3" spans="1:15" x14ac:dyDescent="0.3">
      <c r="A3" t="s">
        <v>578</v>
      </c>
      <c r="B3" t="s">
        <v>777</v>
      </c>
      <c r="C3" t="s">
        <v>554</v>
      </c>
      <c r="D3" t="s">
        <v>835</v>
      </c>
      <c r="E3" t="s">
        <v>833</v>
      </c>
      <c r="F3" t="s">
        <v>834</v>
      </c>
      <c r="G3" s="9">
        <v>8000000</v>
      </c>
      <c r="H3" s="9" t="s">
        <v>758</v>
      </c>
      <c r="I3" t="s">
        <v>826</v>
      </c>
      <c r="J3" s="9">
        <v>414000000</v>
      </c>
      <c r="K3">
        <v>30</v>
      </c>
      <c r="L3" s="13">
        <f t="shared" ref="L3:L10" si="0">J3/K3</f>
        <v>13800000</v>
      </c>
    </row>
    <row r="4" spans="1:15" x14ac:dyDescent="0.3">
      <c r="A4" t="s">
        <v>579</v>
      </c>
      <c r="B4" t="s">
        <v>777</v>
      </c>
      <c r="C4" t="s">
        <v>555</v>
      </c>
      <c r="D4" t="s">
        <v>817</v>
      </c>
      <c r="E4" t="s">
        <v>819</v>
      </c>
      <c r="F4" t="s">
        <v>821</v>
      </c>
      <c r="G4" s="9">
        <v>1203000</v>
      </c>
      <c r="H4" s="9" t="s">
        <v>758</v>
      </c>
      <c r="I4" t="s">
        <v>818</v>
      </c>
      <c r="J4" s="9">
        <v>110000000</v>
      </c>
      <c r="K4">
        <v>30</v>
      </c>
      <c r="L4" s="13">
        <f t="shared" si="0"/>
        <v>3666666.6666666665</v>
      </c>
      <c r="O4" t="s">
        <v>792</v>
      </c>
    </row>
    <row r="5" spans="1:15" x14ac:dyDescent="0.3">
      <c r="A5" t="s">
        <v>580</v>
      </c>
      <c r="B5" t="s">
        <v>777</v>
      </c>
      <c r="C5" t="s">
        <v>555</v>
      </c>
      <c r="D5" t="s">
        <v>838</v>
      </c>
      <c r="E5" t="s">
        <v>836</v>
      </c>
      <c r="F5" t="s">
        <v>837</v>
      </c>
      <c r="G5" s="9">
        <v>822000</v>
      </c>
      <c r="H5" s="9" t="s">
        <v>758</v>
      </c>
      <c r="I5" t="s">
        <v>751</v>
      </c>
      <c r="J5" s="9">
        <v>726000000</v>
      </c>
      <c r="K5">
        <v>30</v>
      </c>
      <c r="L5" s="13">
        <f t="shared" si="0"/>
        <v>24200000</v>
      </c>
    </row>
    <row r="6" spans="1:15" x14ac:dyDescent="0.3">
      <c r="A6" t="s">
        <v>581</v>
      </c>
      <c r="B6" t="s">
        <v>776</v>
      </c>
      <c r="C6" t="s">
        <v>561</v>
      </c>
      <c r="D6" t="s">
        <v>823</v>
      </c>
      <c r="E6" t="s">
        <v>825</v>
      </c>
      <c r="F6" t="s">
        <v>827</v>
      </c>
      <c r="G6" s="9">
        <v>3136000</v>
      </c>
      <c r="H6" s="9" t="s">
        <v>758</v>
      </c>
      <c r="I6" t="s">
        <v>826</v>
      </c>
      <c r="J6" s="9">
        <v>90000000</v>
      </c>
      <c r="K6">
        <v>30</v>
      </c>
      <c r="L6" s="13">
        <f t="shared" si="0"/>
        <v>3000000</v>
      </c>
    </row>
    <row r="7" spans="1:15" x14ac:dyDescent="0.3">
      <c r="A7" t="s">
        <v>582</v>
      </c>
      <c r="B7" t="s">
        <v>776</v>
      </c>
      <c r="C7" t="s">
        <v>561</v>
      </c>
      <c r="D7" t="s">
        <v>839</v>
      </c>
      <c r="E7" t="s">
        <v>840</v>
      </c>
      <c r="F7" t="s">
        <v>841</v>
      </c>
      <c r="G7" s="9">
        <v>1927000</v>
      </c>
      <c r="H7" s="9" t="s">
        <v>758</v>
      </c>
      <c r="I7" t="s">
        <v>826</v>
      </c>
      <c r="J7" s="9">
        <v>150000000</v>
      </c>
      <c r="K7">
        <v>30</v>
      </c>
      <c r="L7" s="13">
        <f t="shared" si="0"/>
        <v>5000000</v>
      </c>
    </row>
    <row r="8" spans="1:15" x14ac:dyDescent="0.3">
      <c r="A8" t="s">
        <v>583</v>
      </c>
      <c r="B8" t="s">
        <v>795</v>
      </c>
      <c r="C8" t="s">
        <v>565</v>
      </c>
      <c r="D8" t="s">
        <v>828</v>
      </c>
      <c r="E8" t="s">
        <v>829</v>
      </c>
      <c r="F8" t="s">
        <v>828</v>
      </c>
      <c r="G8" s="9">
        <f>89500+666880</f>
        <v>756380</v>
      </c>
      <c r="H8" s="9" t="s">
        <v>758</v>
      </c>
      <c r="I8" t="s">
        <v>753</v>
      </c>
      <c r="J8" s="9">
        <v>825000000</v>
      </c>
      <c r="K8">
        <v>30</v>
      </c>
      <c r="L8" s="13">
        <f t="shared" si="0"/>
        <v>27500000</v>
      </c>
    </row>
    <row r="9" spans="1:15" x14ac:dyDescent="0.3">
      <c r="A9" t="s">
        <v>584</v>
      </c>
      <c r="B9" t="s">
        <v>795</v>
      </c>
      <c r="C9" t="s">
        <v>565</v>
      </c>
      <c r="D9" t="s">
        <v>844</v>
      </c>
      <c r="E9" t="s">
        <v>843</v>
      </c>
      <c r="F9" t="s">
        <v>842</v>
      </c>
      <c r="G9" s="9">
        <v>6642000</v>
      </c>
      <c r="H9" s="9" t="s">
        <v>758</v>
      </c>
      <c r="I9" t="s">
        <v>751</v>
      </c>
      <c r="J9" s="9">
        <v>500000000</v>
      </c>
      <c r="K9">
        <v>30</v>
      </c>
      <c r="L9" s="13">
        <f t="shared" si="0"/>
        <v>16666666.666666666</v>
      </c>
    </row>
    <row r="10" spans="1:15" x14ac:dyDescent="0.3">
      <c r="A10" t="s">
        <v>585</v>
      </c>
      <c r="B10" t="s">
        <v>795</v>
      </c>
      <c r="C10" t="s">
        <v>566</v>
      </c>
      <c r="D10" t="s">
        <v>831</v>
      </c>
      <c r="E10" t="s">
        <v>832</v>
      </c>
      <c r="F10" t="s">
        <v>832</v>
      </c>
      <c r="G10" s="9">
        <v>1640000</v>
      </c>
      <c r="H10" s="9" t="s">
        <v>758</v>
      </c>
      <c r="I10" t="s">
        <v>830</v>
      </c>
      <c r="J10" s="9">
        <v>265000000</v>
      </c>
      <c r="K10">
        <v>30</v>
      </c>
      <c r="L10" s="13">
        <f t="shared" si="0"/>
        <v>8833333.333333334</v>
      </c>
    </row>
    <row r="11" spans="1:15" x14ac:dyDescent="0.3">
      <c r="L11" s="13">
        <f>SUM(L2:L10)</f>
        <v>111333333.33333333</v>
      </c>
    </row>
    <row r="12" spans="1:15" ht="17.399999999999999" customHeight="1" x14ac:dyDescent="0.3"/>
    <row r="13" spans="1:15" ht="17.399999999999999" customHeight="1" x14ac:dyDescent="0.3"/>
    <row r="14" spans="1:15" ht="17.399999999999999" customHeight="1" x14ac:dyDescent="0.3"/>
    <row r="15" spans="1:15" ht="17.399999999999999" customHeight="1" x14ac:dyDescent="0.3"/>
    <row r="16" spans="1:15" ht="17.399999999999999" customHeight="1" x14ac:dyDescent="0.3"/>
    <row r="17" spans="1:16" ht="17.399999999999999" customHeight="1" x14ac:dyDescent="0.3"/>
    <row r="18" spans="1:16" x14ac:dyDescent="0.3">
      <c r="A18" t="s">
        <v>578</v>
      </c>
      <c r="C18" t="s">
        <v>576</v>
      </c>
      <c r="J18" s="9">
        <v>199</v>
      </c>
      <c r="O18">
        <f t="shared" ref="O18:O39" si="1">L18+K18+J18</f>
        <v>199</v>
      </c>
      <c r="P18" s="9">
        <f t="shared" ref="P18:P39" si="2">O18*$R$2</f>
        <v>0</v>
      </c>
    </row>
    <row r="19" spans="1:16" x14ac:dyDescent="0.3">
      <c r="A19" t="s">
        <v>579</v>
      </c>
      <c r="C19" t="s">
        <v>568</v>
      </c>
      <c r="J19" s="9">
        <v>197</v>
      </c>
      <c r="O19">
        <f t="shared" si="1"/>
        <v>197</v>
      </c>
      <c r="P19" s="9">
        <f t="shared" si="2"/>
        <v>0</v>
      </c>
    </row>
    <row r="20" spans="1:16" x14ac:dyDescent="0.3">
      <c r="A20" t="s">
        <v>580</v>
      </c>
      <c r="C20" t="s">
        <v>557</v>
      </c>
      <c r="J20" s="9">
        <v>2100</v>
      </c>
      <c r="K20">
        <v>3</v>
      </c>
      <c r="L20">
        <v>17</v>
      </c>
      <c r="O20">
        <f t="shared" si="1"/>
        <v>2120</v>
      </c>
      <c r="P20" s="9">
        <f t="shared" si="2"/>
        <v>0</v>
      </c>
    </row>
    <row r="21" spans="1:16" x14ac:dyDescent="0.3">
      <c r="A21" t="s">
        <v>581</v>
      </c>
      <c r="C21" t="s">
        <v>564</v>
      </c>
      <c r="J21" s="9">
        <v>2710</v>
      </c>
      <c r="K21">
        <v>189</v>
      </c>
      <c r="O21">
        <f t="shared" si="1"/>
        <v>2899</v>
      </c>
      <c r="P21" s="9">
        <f t="shared" si="2"/>
        <v>0</v>
      </c>
    </row>
    <row r="22" spans="1:16" x14ac:dyDescent="0.3">
      <c r="A22" t="s">
        <v>582</v>
      </c>
      <c r="C22" t="s">
        <v>555</v>
      </c>
      <c r="J22" s="9">
        <v>766</v>
      </c>
      <c r="K22">
        <v>33</v>
      </c>
      <c r="L22">
        <v>54</v>
      </c>
      <c r="O22">
        <f t="shared" si="1"/>
        <v>853</v>
      </c>
      <c r="P22" s="9">
        <f t="shared" si="2"/>
        <v>0</v>
      </c>
    </row>
    <row r="23" spans="1:16" x14ac:dyDescent="0.3">
      <c r="A23" t="s">
        <v>583</v>
      </c>
      <c r="C23" t="s">
        <v>574</v>
      </c>
      <c r="J23" s="9">
        <v>2553</v>
      </c>
      <c r="K23">
        <v>203</v>
      </c>
      <c r="O23">
        <f t="shared" si="1"/>
        <v>2756</v>
      </c>
      <c r="P23" s="9">
        <f t="shared" si="2"/>
        <v>0</v>
      </c>
    </row>
    <row r="24" spans="1:16" x14ac:dyDescent="0.3">
      <c r="A24" t="s">
        <v>584</v>
      </c>
      <c r="C24" t="s">
        <v>571</v>
      </c>
      <c r="J24" s="9">
        <v>7922</v>
      </c>
      <c r="K24">
        <v>770</v>
      </c>
      <c r="O24">
        <f t="shared" si="1"/>
        <v>8692</v>
      </c>
      <c r="P24" s="9">
        <f t="shared" si="2"/>
        <v>0</v>
      </c>
    </row>
    <row r="25" spans="1:16" x14ac:dyDescent="0.3">
      <c r="A25" t="s">
        <v>585</v>
      </c>
      <c r="C25" t="s">
        <v>563</v>
      </c>
      <c r="J25" s="9">
        <v>390</v>
      </c>
      <c r="O25">
        <f t="shared" si="1"/>
        <v>390</v>
      </c>
      <c r="P25" s="9">
        <f t="shared" si="2"/>
        <v>0</v>
      </c>
    </row>
    <row r="26" spans="1:16" x14ac:dyDescent="0.3">
      <c r="A26" t="s">
        <v>586</v>
      </c>
      <c r="C26" t="s">
        <v>569</v>
      </c>
      <c r="J26" s="9">
        <v>14900</v>
      </c>
      <c r="K26">
        <v>2180</v>
      </c>
      <c r="O26">
        <f t="shared" si="1"/>
        <v>17080</v>
      </c>
      <c r="P26" s="9">
        <f t="shared" si="2"/>
        <v>0</v>
      </c>
    </row>
    <row r="27" spans="1:16" x14ac:dyDescent="0.3">
      <c r="A27" t="s">
        <v>587</v>
      </c>
      <c r="C27" t="s">
        <v>572</v>
      </c>
      <c r="J27" s="9">
        <v>184</v>
      </c>
      <c r="K27">
        <v>70</v>
      </c>
      <c r="O27">
        <f t="shared" si="1"/>
        <v>254</v>
      </c>
      <c r="P27" s="9">
        <f t="shared" si="2"/>
        <v>0</v>
      </c>
    </row>
    <row r="28" spans="1:16" x14ac:dyDescent="0.3">
      <c r="A28" t="s">
        <v>588</v>
      </c>
      <c r="C28" t="s">
        <v>556</v>
      </c>
      <c r="J28" s="9">
        <v>140</v>
      </c>
      <c r="K28">
        <v>389</v>
      </c>
      <c r="L28">
        <v>87</v>
      </c>
      <c r="O28">
        <f t="shared" si="1"/>
        <v>616</v>
      </c>
      <c r="P28" s="9">
        <f t="shared" si="2"/>
        <v>0</v>
      </c>
    </row>
    <row r="29" spans="1:16" x14ac:dyDescent="0.3">
      <c r="A29" t="s">
        <v>589</v>
      </c>
      <c r="C29" t="s">
        <v>566</v>
      </c>
      <c r="J29" s="9">
        <v>4669</v>
      </c>
      <c r="K29">
        <v>1810</v>
      </c>
      <c r="L29">
        <v>71</v>
      </c>
      <c r="O29">
        <f t="shared" si="1"/>
        <v>6550</v>
      </c>
      <c r="P29" s="9">
        <f t="shared" si="2"/>
        <v>0</v>
      </c>
    </row>
    <row r="30" spans="1:16" x14ac:dyDescent="0.3">
      <c r="A30" t="s">
        <v>590</v>
      </c>
      <c r="C30" t="s">
        <v>559</v>
      </c>
      <c r="J30" s="9">
        <v>404</v>
      </c>
      <c r="O30">
        <f t="shared" si="1"/>
        <v>404</v>
      </c>
      <c r="P30" s="9">
        <f t="shared" si="2"/>
        <v>0</v>
      </c>
    </row>
    <row r="31" spans="1:16" x14ac:dyDescent="0.3">
      <c r="A31" t="s">
        <v>591</v>
      </c>
      <c r="C31" t="s">
        <v>560</v>
      </c>
      <c r="J31" s="9">
        <v>30</v>
      </c>
      <c r="K31">
        <v>7</v>
      </c>
      <c r="O31">
        <f t="shared" si="1"/>
        <v>37</v>
      </c>
      <c r="P31" s="9">
        <f t="shared" si="2"/>
        <v>0</v>
      </c>
    </row>
    <row r="32" spans="1:16" x14ac:dyDescent="0.3">
      <c r="A32" t="s">
        <v>592</v>
      </c>
      <c r="C32" t="s">
        <v>570</v>
      </c>
      <c r="J32" s="9">
        <v>340</v>
      </c>
      <c r="K32">
        <v>1700</v>
      </c>
      <c r="L32">
        <v>300</v>
      </c>
      <c r="O32">
        <f t="shared" si="1"/>
        <v>2340</v>
      </c>
      <c r="P32" s="9">
        <f t="shared" si="2"/>
        <v>0</v>
      </c>
    </row>
    <row r="33" spans="1:16" x14ac:dyDescent="0.3">
      <c r="A33" t="s">
        <v>593</v>
      </c>
      <c r="C33" t="s">
        <v>575</v>
      </c>
      <c r="J33" s="9">
        <v>26031</v>
      </c>
      <c r="K33">
        <v>3157</v>
      </c>
      <c r="O33">
        <f t="shared" si="1"/>
        <v>29188</v>
      </c>
      <c r="P33" s="9">
        <f t="shared" si="2"/>
        <v>0</v>
      </c>
    </row>
    <row r="34" spans="1:16" x14ac:dyDescent="0.3">
      <c r="A34" t="s">
        <v>594</v>
      </c>
      <c r="C34" t="s">
        <v>554</v>
      </c>
      <c r="J34" s="9">
        <v>1761</v>
      </c>
      <c r="K34">
        <v>764</v>
      </c>
      <c r="L34">
        <v>415</v>
      </c>
      <c r="O34">
        <f t="shared" si="1"/>
        <v>2940</v>
      </c>
      <c r="P34" s="9">
        <f t="shared" si="2"/>
        <v>0</v>
      </c>
    </row>
    <row r="35" spans="1:16" x14ac:dyDescent="0.3">
      <c r="A35" t="s">
        <v>595</v>
      </c>
      <c r="C35" t="s">
        <v>561</v>
      </c>
      <c r="J35" s="9">
        <v>7500</v>
      </c>
      <c r="K35">
        <v>1500</v>
      </c>
      <c r="O35">
        <f t="shared" si="1"/>
        <v>9000</v>
      </c>
      <c r="P35" s="9">
        <f t="shared" si="2"/>
        <v>0</v>
      </c>
    </row>
    <row r="36" spans="1:16" x14ac:dyDescent="0.3">
      <c r="A36" t="s">
        <v>596</v>
      </c>
      <c r="C36" t="s">
        <v>558</v>
      </c>
      <c r="J36" s="9">
        <v>1716</v>
      </c>
      <c r="O36">
        <f t="shared" si="1"/>
        <v>1716</v>
      </c>
      <c r="P36" s="9">
        <f t="shared" si="2"/>
        <v>0</v>
      </c>
    </row>
    <row r="37" spans="1:16" x14ac:dyDescent="0.3">
      <c r="A37" t="s">
        <v>597</v>
      </c>
      <c r="C37" t="s">
        <v>567</v>
      </c>
      <c r="J37" s="9">
        <v>92</v>
      </c>
      <c r="K37">
        <v>2</v>
      </c>
      <c r="O37">
        <f t="shared" si="1"/>
        <v>94</v>
      </c>
      <c r="P37" s="9">
        <f t="shared" si="2"/>
        <v>0</v>
      </c>
    </row>
    <row r="38" spans="1:16" x14ac:dyDescent="0.3">
      <c r="A38" t="s">
        <v>598</v>
      </c>
      <c r="C38" t="s">
        <v>565</v>
      </c>
      <c r="J38" s="9">
        <v>14000</v>
      </c>
      <c r="K38">
        <v>34</v>
      </c>
      <c r="L38">
        <v>145</v>
      </c>
      <c r="O38">
        <f t="shared" si="1"/>
        <v>14179</v>
      </c>
      <c r="P38" s="9">
        <f t="shared" si="2"/>
        <v>0</v>
      </c>
    </row>
    <row r="39" spans="1:16" x14ac:dyDescent="0.3">
      <c r="A39" t="s">
        <v>599</v>
      </c>
      <c r="C39" t="s">
        <v>573</v>
      </c>
      <c r="J39" s="9">
        <v>7100</v>
      </c>
      <c r="K39">
        <v>7300</v>
      </c>
      <c r="O39">
        <f t="shared" si="1"/>
        <v>14400</v>
      </c>
      <c r="P39" s="9">
        <f t="shared" si="2"/>
        <v>0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EF59-4A93-4A31-8A2A-F6133AF09DB3}">
  <dimension ref="A1:R25"/>
  <sheetViews>
    <sheetView workbookViewId="0">
      <selection activeCell="D2" sqref="D2"/>
    </sheetView>
  </sheetViews>
  <sheetFormatPr defaultRowHeight="14.4" x14ac:dyDescent="0.3"/>
  <cols>
    <col min="1" max="1" width="19.88671875" style="1" bestFit="1" customWidth="1"/>
    <col min="2" max="2" width="15.109375" style="1" bestFit="1" customWidth="1"/>
    <col min="3" max="4" width="15.109375" style="1" customWidth="1"/>
    <col min="5" max="5" width="17.77734375" style="1" bestFit="1" customWidth="1"/>
    <col min="6" max="6" width="16.109375" style="1" bestFit="1" customWidth="1"/>
    <col min="7" max="7" width="14.109375" style="1" bestFit="1" customWidth="1"/>
    <col min="8" max="8" width="29.5546875" style="1" customWidth="1"/>
    <col min="9" max="9" width="27.21875" style="1" customWidth="1"/>
    <col min="10" max="11" width="8.88671875" style="1"/>
    <col min="12" max="12" width="14.109375" style="1" bestFit="1" customWidth="1"/>
    <col min="13" max="14" width="8.88671875" style="1"/>
    <col min="15" max="15" width="10.44140625" style="1" bestFit="1" customWidth="1"/>
    <col min="16" max="16" width="15.109375" style="1" bestFit="1" customWidth="1"/>
    <col min="17" max="17" width="12.77734375" style="1" bestFit="1" customWidth="1"/>
    <col min="18" max="16384" width="8.88671875" style="1"/>
  </cols>
  <sheetData>
    <row r="1" spans="1:18" x14ac:dyDescent="0.3">
      <c r="A1" s="1" t="s">
        <v>973</v>
      </c>
      <c r="B1" s="1" t="s">
        <v>974</v>
      </c>
    </row>
    <row r="2" spans="1:18" x14ac:dyDescent="0.3">
      <c r="A2" s="1">
        <v>2000000</v>
      </c>
      <c r="B2" s="1">
        <v>110</v>
      </c>
      <c r="D2" s="27">
        <f>C5/30</f>
        <v>1.9097210481825866</v>
      </c>
      <c r="E2" s="1">
        <v>568</v>
      </c>
      <c r="F2" s="1">
        <f>E2*B2*A2</f>
        <v>124960000000</v>
      </c>
      <c r="G2" s="1">
        <f>F2/50</f>
        <v>2499200000</v>
      </c>
      <c r="H2" s="1">
        <f>G2*30</f>
        <v>74976000000</v>
      </c>
      <c r="I2" s="1">
        <v>1180000</v>
      </c>
      <c r="J2" s="1">
        <f>G2/I2</f>
        <v>2117.9661016949153</v>
      </c>
    </row>
    <row r="3" spans="1:18" x14ac:dyDescent="0.3">
      <c r="E3" s="1">
        <f>B2*E2</f>
        <v>62480</v>
      </c>
      <c r="F3" s="1" t="s">
        <v>975</v>
      </c>
    </row>
    <row r="5" spans="1:18" x14ac:dyDescent="0.3">
      <c r="A5" s="1">
        <v>828100</v>
      </c>
      <c r="B5" s="1">
        <v>47443200</v>
      </c>
      <c r="C5" s="1">
        <f>B5/A5</f>
        <v>57.291631445477599</v>
      </c>
      <c r="D5" s="1">
        <f>C5*A5</f>
        <v>47443200</v>
      </c>
      <c r="E5" s="20">
        <f>D5/30</f>
        <v>1581440</v>
      </c>
      <c r="F5" s="17">
        <f>E5/A5</f>
        <v>1.9097210481825866</v>
      </c>
      <c r="G5" s="2">
        <v>1180000</v>
      </c>
      <c r="H5" s="1">
        <f>G5*E5</f>
        <v>1866099200000</v>
      </c>
      <c r="I5" s="1">
        <f>H5/30</f>
        <v>62203306666.666664</v>
      </c>
      <c r="L5" s="1">
        <f>F5*G5</f>
        <v>2253470.836855452</v>
      </c>
      <c r="N5" s="1">
        <v>47443.199999999997</v>
      </c>
      <c r="O5" s="1">
        <v>1000000</v>
      </c>
      <c r="P5" s="1">
        <f>O5*N5</f>
        <v>47443200000</v>
      </c>
      <c r="Q5" s="21">
        <f>A5/B5</f>
        <v>1.7454556185080263E-2</v>
      </c>
      <c r="R5" s="1">
        <f>Q5*P5</f>
        <v>828100000</v>
      </c>
    </row>
    <row r="6" spans="1:18" x14ac:dyDescent="0.3">
      <c r="A6" s="1">
        <v>1236900</v>
      </c>
      <c r="B6" s="1">
        <v>70864100</v>
      </c>
      <c r="C6" s="1">
        <f t="shared" ref="C6:C9" si="0">B6/1000</f>
        <v>70864.100000000006</v>
      </c>
      <c r="D6" s="1">
        <f t="shared" ref="D6:D9" si="1">B6/25</f>
        <v>2834564</v>
      </c>
      <c r="E6" s="1">
        <f t="shared" ref="E6:E9" si="2">B6/A6</f>
        <v>57.291696984396474</v>
      </c>
      <c r="G6" s="2">
        <f t="shared" ref="G6:G24" si="3">F6/1000</f>
        <v>0</v>
      </c>
    </row>
    <row r="7" spans="1:18" x14ac:dyDescent="0.3">
      <c r="A7" s="1">
        <v>672000</v>
      </c>
      <c r="B7" s="1">
        <v>38500000000</v>
      </c>
      <c r="C7" s="1">
        <f t="shared" si="0"/>
        <v>38500000</v>
      </c>
      <c r="D7" s="1">
        <f t="shared" si="1"/>
        <v>1540000000</v>
      </c>
      <c r="E7" s="1">
        <f t="shared" si="2"/>
        <v>57291.666666666664</v>
      </c>
      <c r="G7" s="2">
        <f t="shared" si="3"/>
        <v>0</v>
      </c>
    </row>
    <row r="8" spans="1:18" x14ac:dyDescent="0.3">
      <c r="A8" s="1">
        <v>1415400</v>
      </c>
      <c r="B8" s="1">
        <v>81090600000</v>
      </c>
      <c r="C8" s="1">
        <f t="shared" si="0"/>
        <v>81090600</v>
      </c>
      <c r="D8" s="1">
        <f t="shared" si="1"/>
        <v>3243624000</v>
      </c>
      <c r="E8" s="1">
        <f t="shared" si="2"/>
        <v>57291.649003815175</v>
      </c>
      <c r="G8" s="2">
        <f t="shared" si="3"/>
        <v>0</v>
      </c>
    </row>
    <row r="9" spans="1:18" x14ac:dyDescent="0.3">
      <c r="A9" s="1">
        <v>1646400</v>
      </c>
      <c r="B9" s="1">
        <v>94325000000</v>
      </c>
      <c r="C9" s="1">
        <f t="shared" si="0"/>
        <v>94325000</v>
      </c>
      <c r="D9" s="1">
        <f t="shared" si="1"/>
        <v>3773000000</v>
      </c>
      <c r="E9" s="1">
        <f t="shared" si="2"/>
        <v>57291.666666666664</v>
      </c>
      <c r="G9" s="2">
        <f t="shared" si="3"/>
        <v>0</v>
      </c>
    </row>
    <row r="10" spans="1:18" x14ac:dyDescent="0.3">
      <c r="A10" s="1">
        <v>1243200</v>
      </c>
      <c r="G10" s="2">
        <f t="shared" si="3"/>
        <v>0</v>
      </c>
    </row>
    <row r="11" spans="1:18" x14ac:dyDescent="0.3">
      <c r="A11" s="1">
        <v>948500</v>
      </c>
      <c r="G11" s="2">
        <f t="shared" si="3"/>
        <v>0</v>
      </c>
    </row>
    <row r="12" spans="1:18" x14ac:dyDescent="0.3">
      <c r="A12" s="1">
        <v>1652700</v>
      </c>
      <c r="G12" s="2">
        <f t="shared" si="3"/>
        <v>0</v>
      </c>
    </row>
    <row r="13" spans="1:18" x14ac:dyDescent="0.3">
      <c r="A13" s="1">
        <v>14805</v>
      </c>
      <c r="B13" s="1">
        <f>B5/E13</f>
        <v>20538.18181818182</v>
      </c>
      <c r="E13" s="1">
        <v>2310</v>
      </c>
      <c r="G13" s="2">
        <f t="shared" si="3"/>
        <v>0</v>
      </c>
    </row>
    <row r="14" spans="1:18" x14ac:dyDescent="0.3">
      <c r="A14" s="1">
        <v>1480500</v>
      </c>
      <c r="B14" s="1">
        <f>B13/A5</f>
        <v>2.480157205431931E-2</v>
      </c>
      <c r="E14" s="1">
        <f>E9/E13</f>
        <v>24.801587301587301</v>
      </c>
      <c r="G14" s="2">
        <f t="shared" si="3"/>
        <v>0</v>
      </c>
    </row>
    <row r="15" spans="1:18" x14ac:dyDescent="0.3">
      <c r="A15" s="1">
        <v>959000</v>
      </c>
      <c r="G15" s="2">
        <f t="shared" si="3"/>
        <v>0</v>
      </c>
    </row>
    <row r="16" spans="1:18" x14ac:dyDescent="0.3">
      <c r="A16" s="1">
        <f>SUM(A5:A15)</f>
        <v>12097505</v>
      </c>
      <c r="B16" s="1">
        <v>30</v>
      </c>
      <c r="D16" s="1">
        <f>B16*A16</f>
        <v>362925150</v>
      </c>
      <c r="G16" s="2">
        <f t="shared" si="3"/>
        <v>0</v>
      </c>
    </row>
    <row r="17" spans="4:7" x14ac:dyDescent="0.3">
      <c r="G17" s="2">
        <f t="shared" si="3"/>
        <v>0</v>
      </c>
    </row>
    <row r="18" spans="4:7" x14ac:dyDescent="0.3">
      <c r="G18" s="2">
        <f t="shared" si="3"/>
        <v>0</v>
      </c>
    </row>
    <row r="19" spans="4:7" x14ac:dyDescent="0.3">
      <c r="D19" s="1">
        <v>3262329</v>
      </c>
      <c r="E19" s="1">
        <v>100</v>
      </c>
      <c r="G19" s="2">
        <f t="shared" si="3"/>
        <v>0</v>
      </c>
    </row>
    <row r="20" spans="4:7" x14ac:dyDescent="0.3">
      <c r="E20" s="1">
        <f>E19*D19</f>
        <v>326232900</v>
      </c>
      <c r="G20" s="2">
        <f t="shared" si="3"/>
        <v>0</v>
      </c>
    </row>
    <row r="21" spans="4:7" x14ac:dyDescent="0.3">
      <c r="G21" s="2">
        <f>F21/1000</f>
        <v>0</v>
      </c>
    </row>
    <row r="22" spans="4:7" x14ac:dyDescent="0.3">
      <c r="G22" s="2">
        <f t="shared" si="3"/>
        <v>0</v>
      </c>
    </row>
    <row r="23" spans="4:7" x14ac:dyDescent="0.3">
      <c r="G23" s="2">
        <f t="shared" si="3"/>
        <v>0</v>
      </c>
    </row>
    <row r="24" spans="4:7" x14ac:dyDescent="0.3">
      <c r="G24" s="2">
        <f t="shared" si="3"/>
        <v>0</v>
      </c>
    </row>
    <row r="25" spans="4:7" x14ac:dyDescent="0.3">
      <c r="G25" s="2">
        <f>F25/1000</f>
        <v>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CB40-F948-4CD1-81EC-BD96205DF264}">
  <dimension ref="A1:BG24"/>
  <sheetViews>
    <sheetView topLeftCell="D1" workbookViewId="0">
      <selection activeCell="E4" sqref="E4"/>
    </sheetView>
  </sheetViews>
  <sheetFormatPr defaultRowHeight="14.4" x14ac:dyDescent="0.3"/>
  <cols>
    <col min="2" max="2" width="18.88671875" bestFit="1" customWidth="1"/>
    <col min="3" max="3" width="20" bestFit="1" customWidth="1"/>
    <col min="4" max="4" width="37.77734375" customWidth="1"/>
    <col min="5" max="5" width="29.77734375" bestFit="1" customWidth="1"/>
    <col min="6" max="6" width="12.77734375" bestFit="1" customWidth="1"/>
    <col min="7" max="7" width="30.6640625" customWidth="1"/>
    <col min="8" max="8" width="12.77734375" customWidth="1"/>
  </cols>
  <sheetData>
    <row r="1" spans="1:59" x14ac:dyDescent="0.3">
      <c r="A1" t="s">
        <v>933</v>
      </c>
      <c r="B1" t="s">
        <v>934</v>
      </c>
      <c r="C1" t="s">
        <v>953</v>
      </c>
      <c r="D1" t="s">
        <v>954</v>
      </c>
      <c r="E1" t="s">
        <v>935</v>
      </c>
      <c r="F1" t="s">
        <v>936</v>
      </c>
      <c r="G1" t="s">
        <v>945</v>
      </c>
      <c r="H1" t="s">
        <v>946</v>
      </c>
      <c r="I1" t="s">
        <v>942</v>
      </c>
      <c r="J1" t="s">
        <v>943</v>
      </c>
      <c r="K1" t="s">
        <v>944</v>
      </c>
      <c r="L1" t="s">
        <v>942</v>
      </c>
      <c r="M1" t="s">
        <v>943</v>
      </c>
      <c r="N1" t="s">
        <v>944</v>
      </c>
      <c r="O1" t="s">
        <v>942</v>
      </c>
      <c r="P1" t="s">
        <v>943</v>
      </c>
      <c r="Q1" t="s">
        <v>944</v>
      </c>
      <c r="R1" t="s">
        <v>942</v>
      </c>
      <c r="S1" t="s">
        <v>943</v>
      </c>
      <c r="T1" t="s">
        <v>944</v>
      </c>
      <c r="U1" t="s">
        <v>942</v>
      </c>
      <c r="V1" t="s">
        <v>943</v>
      </c>
      <c r="W1" t="s">
        <v>944</v>
      </c>
      <c r="X1" t="s">
        <v>942</v>
      </c>
      <c r="Y1" t="s">
        <v>943</v>
      </c>
      <c r="Z1" t="s">
        <v>944</v>
      </c>
      <c r="AA1" t="s">
        <v>942</v>
      </c>
      <c r="AB1" t="s">
        <v>943</v>
      </c>
      <c r="AC1" t="s">
        <v>944</v>
      </c>
      <c r="AD1" t="s">
        <v>942</v>
      </c>
      <c r="AE1" t="s">
        <v>943</v>
      </c>
      <c r="AF1" t="s">
        <v>944</v>
      </c>
      <c r="AG1" t="s">
        <v>942</v>
      </c>
      <c r="AH1" t="s">
        <v>943</v>
      </c>
      <c r="AI1" t="s">
        <v>944</v>
      </c>
    </row>
    <row r="2" spans="1:59" x14ac:dyDescent="0.3">
      <c r="A2" s="1">
        <v>30</v>
      </c>
      <c r="B2" s="1">
        <v>0</v>
      </c>
      <c r="C2" s="1">
        <v>821123610</v>
      </c>
      <c r="D2" s="1">
        <f>A2*$F$2</f>
        <v>821123610</v>
      </c>
      <c r="E2" s="1">
        <f>C2</f>
        <v>821123610</v>
      </c>
      <c r="F2" s="1">
        <v>27370787</v>
      </c>
      <c r="G2" s="16"/>
      <c r="H2" s="1"/>
    </row>
    <row r="3" spans="1:59" x14ac:dyDescent="0.3">
      <c r="A3" s="1">
        <v>40</v>
      </c>
      <c r="B3" s="1">
        <v>0</v>
      </c>
      <c r="C3" s="1">
        <v>1094831480</v>
      </c>
      <c r="D3" s="1">
        <f t="shared" ref="D3:D9" si="0">A3*$F$2</f>
        <v>1094831480</v>
      </c>
      <c r="E3" s="1">
        <f>C3</f>
        <v>1094831480</v>
      </c>
      <c r="F3" s="1">
        <v>27370787</v>
      </c>
      <c r="G3" s="16"/>
      <c r="H3" s="1"/>
    </row>
    <row r="4" spans="1:59" x14ac:dyDescent="0.3">
      <c r="A4" s="1">
        <v>50</v>
      </c>
      <c r="B4" s="1">
        <f>I5</f>
        <v>990000</v>
      </c>
      <c r="C4" s="1">
        <v>1365230239</v>
      </c>
      <c r="D4" s="1">
        <f t="shared" si="0"/>
        <v>1368539350</v>
      </c>
      <c r="E4" s="1">
        <f t="shared" ref="E4:E9" si="1">F4*A4</f>
        <v>1319039350</v>
      </c>
      <c r="F4" s="1">
        <f t="shared" ref="F4:F9" si="2">$F$2-B4</f>
        <v>26380787</v>
      </c>
      <c r="G4" s="16">
        <v>6</v>
      </c>
      <c r="H4" s="1">
        <v>8</v>
      </c>
      <c r="I4">
        <v>990000</v>
      </c>
      <c r="J4" t="s">
        <v>937</v>
      </c>
      <c r="K4" t="s">
        <v>941</v>
      </c>
    </row>
    <row r="5" spans="1:59" x14ac:dyDescent="0.3">
      <c r="A5" s="1">
        <v>60</v>
      </c>
      <c r="B5" s="1">
        <f>I5+L5+O5+R5</f>
        <v>6460000</v>
      </c>
      <c r="C5" s="1">
        <v>1600187410</v>
      </c>
      <c r="D5" s="1">
        <f t="shared" si="0"/>
        <v>1642247220</v>
      </c>
      <c r="E5" s="1">
        <f t="shared" si="1"/>
        <v>1254647220</v>
      </c>
      <c r="F5" s="1">
        <f t="shared" si="2"/>
        <v>20910787</v>
      </c>
      <c r="G5" s="16" t="s">
        <v>947</v>
      </c>
      <c r="H5" s="1" t="s">
        <v>952</v>
      </c>
      <c r="I5">
        <v>990000</v>
      </c>
      <c r="J5" t="s">
        <v>937</v>
      </c>
      <c r="K5" t="s">
        <v>699</v>
      </c>
      <c r="L5">
        <v>1550000</v>
      </c>
      <c r="M5" t="s">
        <v>938</v>
      </c>
      <c r="N5" t="s">
        <v>699</v>
      </c>
      <c r="O5">
        <v>2880000</v>
      </c>
      <c r="P5" t="s">
        <v>939</v>
      </c>
      <c r="Q5" t="s">
        <v>701</v>
      </c>
      <c r="R5">
        <v>1040000</v>
      </c>
      <c r="S5" t="s">
        <v>940</v>
      </c>
      <c r="T5" t="s">
        <v>699</v>
      </c>
    </row>
    <row r="6" spans="1:59" x14ac:dyDescent="0.3">
      <c r="A6" s="1">
        <v>70</v>
      </c>
      <c r="B6" s="1">
        <f>I6+L6+O6+R6+U6+X6</f>
        <v>8443000</v>
      </c>
      <c r="C6" s="1">
        <v>1798102943</v>
      </c>
      <c r="D6" s="1">
        <f t="shared" si="0"/>
        <v>1915955090</v>
      </c>
      <c r="E6" s="1">
        <f t="shared" si="1"/>
        <v>1324945090</v>
      </c>
      <c r="F6" s="1">
        <f t="shared" si="2"/>
        <v>18927787</v>
      </c>
      <c r="G6" s="16" t="s">
        <v>948</v>
      </c>
      <c r="H6" s="1" t="s">
        <v>951</v>
      </c>
      <c r="I6">
        <v>990000</v>
      </c>
      <c r="J6" t="s">
        <v>937</v>
      </c>
      <c r="K6" t="s">
        <v>699</v>
      </c>
      <c r="L6">
        <v>1550000</v>
      </c>
      <c r="M6" t="s">
        <v>938</v>
      </c>
      <c r="N6" t="s">
        <v>699</v>
      </c>
      <c r="O6">
        <v>2880000</v>
      </c>
      <c r="P6" t="s">
        <v>939</v>
      </c>
      <c r="Q6" t="s">
        <v>701</v>
      </c>
      <c r="R6">
        <v>1040000</v>
      </c>
      <c r="S6" t="s">
        <v>940</v>
      </c>
      <c r="T6" t="s">
        <v>699</v>
      </c>
      <c r="U6">
        <v>1040000</v>
      </c>
      <c r="V6" t="s">
        <v>949</v>
      </c>
      <c r="W6" t="s">
        <v>699</v>
      </c>
      <c r="X6">
        <v>943000</v>
      </c>
      <c r="Y6" t="s">
        <v>950</v>
      </c>
      <c r="Z6" t="s">
        <v>699</v>
      </c>
    </row>
    <row r="7" spans="1:59" x14ac:dyDescent="0.3">
      <c r="A7" s="1">
        <v>90</v>
      </c>
      <c r="B7" s="1">
        <f>I7+L7+O7+R7+U7+X7+AA7+AD7</f>
        <v>10643000</v>
      </c>
      <c r="C7" s="1">
        <v>2152342798</v>
      </c>
      <c r="D7" s="1">
        <f t="shared" si="0"/>
        <v>2463370830</v>
      </c>
      <c r="E7" s="1">
        <f t="shared" si="1"/>
        <v>1505500830</v>
      </c>
      <c r="F7" s="1">
        <f t="shared" si="2"/>
        <v>16727787</v>
      </c>
      <c r="G7" s="16" t="s">
        <v>957</v>
      </c>
      <c r="H7" s="1" t="s">
        <v>958</v>
      </c>
      <c r="I7">
        <v>990000</v>
      </c>
      <c r="J7" t="s">
        <v>937</v>
      </c>
      <c r="K7" t="s">
        <v>699</v>
      </c>
      <c r="L7">
        <v>1550000</v>
      </c>
      <c r="M7" t="s">
        <v>938</v>
      </c>
      <c r="N7" t="s">
        <v>699</v>
      </c>
      <c r="O7">
        <v>2880000</v>
      </c>
      <c r="P7" t="s">
        <v>939</v>
      </c>
      <c r="Q7" t="s">
        <v>701</v>
      </c>
      <c r="R7">
        <v>1040000</v>
      </c>
      <c r="S7" t="s">
        <v>940</v>
      </c>
      <c r="T7" t="s">
        <v>699</v>
      </c>
      <c r="U7">
        <v>1040000</v>
      </c>
      <c r="V7" t="s">
        <v>949</v>
      </c>
      <c r="W7" t="s">
        <v>699</v>
      </c>
      <c r="X7">
        <v>943000</v>
      </c>
      <c r="Y7" t="s">
        <v>950</v>
      </c>
      <c r="Z7" t="s">
        <v>699</v>
      </c>
      <c r="AA7">
        <v>1150000</v>
      </c>
      <c r="AB7" t="s">
        <v>956</v>
      </c>
      <c r="AC7" t="s">
        <v>699</v>
      </c>
      <c r="AD7">
        <v>1050000</v>
      </c>
      <c r="AE7" t="s">
        <v>955</v>
      </c>
      <c r="AF7" t="s">
        <v>699</v>
      </c>
    </row>
    <row r="8" spans="1:59" x14ac:dyDescent="0.3">
      <c r="A8" s="1">
        <v>120</v>
      </c>
      <c r="B8" s="1">
        <f>I8+L8+O8+R8+U8+X8+AA8+AD8+AG8+AJ8+AM8+AP8</f>
        <v>16123000</v>
      </c>
      <c r="C8" s="1">
        <v>2600200744</v>
      </c>
      <c r="D8" s="1">
        <f t="shared" si="0"/>
        <v>3284494440</v>
      </c>
      <c r="E8" s="1">
        <f t="shared" si="1"/>
        <v>1349734440</v>
      </c>
      <c r="F8" s="1">
        <f t="shared" si="2"/>
        <v>11247787</v>
      </c>
      <c r="G8" s="16" t="s">
        <v>963</v>
      </c>
      <c r="H8" s="1" t="s">
        <v>964</v>
      </c>
      <c r="I8">
        <v>990000</v>
      </c>
      <c r="J8" t="s">
        <v>937</v>
      </c>
      <c r="K8" t="s">
        <v>699</v>
      </c>
      <c r="L8">
        <v>1550000</v>
      </c>
      <c r="M8" t="s">
        <v>938</v>
      </c>
      <c r="N8" t="s">
        <v>699</v>
      </c>
      <c r="O8">
        <v>2880000</v>
      </c>
      <c r="P8" t="s">
        <v>939</v>
      </c>
      <c r="Q8" t="s">
        <v>701</v>
      </c>
      <c r="R8">
        <v>1040000</v>
      </c>
      <c r="S8" t="s">
        <v>940</v>
      </c>
      <c r="T8" t="s">
        <v>699</v>
      </c>
      <c r="U8">
        <v>1040000</v>
      </c>
      <c r="V8" t="s">
        <v>949</v>
      </c>
      <c r="W8" t="s">
        <v>699</v>
      </c>
      <c r="X8">
        <v>943000</v>
      </c>
      <c r="Y8" t="s">
        <v>950</v>
      </c>
      <c r="Z8" t="s">
        <v>699</v>
      </c>
      <c r="AA8">
        <v>1150000</v>
      </c>
      <c r="AB8" t="s">
        <v>956</v>
      </c>
      <c r="AC8" t="s">
        <v>699</v>
      </c>
      <c r="AD8">
        <v>1050000</v>
      </c>
      <c r="AE8" t="s">
        <v>955</v>
      </c>
      <c r="AF8" t="s">
        <v>699</v>
      </c>
      <c r="AG8">
        <v>1190000</v>
      </c>
      <c r="AH8" t="s">
        <v>959</v>
      </c>
      <c r="AI8" t="s">
        <v>699</v>
      </c>
      <c r="AJ8">
        <v>1500000</v>
      </c>
      <c r="AK8" t="s">
        <v>960</v>
      </c>
      <c r="AL8" t="s">
        <v>699</v>
      </c>
      <c r="AM8">
        <v>1250000</v>
      </c>
      <c r="AN8" t="s">
        <v>962</v>
      </c>
      <c r="AO8" t="s">
        <v>699</v>
      </c>
      <c r="AP8">
        <v>1540000</v>
      </c>
      <c r="AQ8" t="s">
        <v>961</v>
      </c>
      <c r="AR8" t="s">
        <v>699</v>
      </c>
    </row>
    <row r="9" spans="1:59" x14ac:dyDescent="0.3">
      <c r="A9" s="1">
        <v>150</v>
      </c>
      <c r="B9" s="1">
        <f>I9+L9+O9+R9+U9+X9+AA9+AD9+AG9+AJ9+AM9+AP9+AS9+AV9+AY9+BB9+BE9</f>
        <v>22810152</v>
      </c>
      <c r="C9" s="1">
        <v>2790273608</v>
      </c>
      <c r="D9" s="1">
        <f t="shared" si="0"/>
        <v>4105618050</v>
      </c>
      <c r="E9" s="1">
        <f t="shared" si="1"/>
        <v>684095250</v>
      </c>
      <c r="F9" s="1">
        <f t="shared" si="2"/>
        <v>4560635</v>
      </c>
      <c r="G9" s="16" t="s">
        <v>963</v>
      </c>
      <c r="H9" s="1" t="s">
        <v>964</v>
      </c>
      <c r="I9">
        <v>990000</v>
      </c>
      <c r="J9" t="s">
        <v>937</v>
      </c>
      <c r="K9" t="s">
        <v>699</v>
      </c>
      <c r="L9">
        <v>1550000</v>
      </c>
      <c r="M9" t="s">
        <v>938</v>
      </c>
      <c r="N9" t="s">
        <v>699</v>
      </c>
      <c r="O9">
        <v>2880000</v>
      </c>
      <c r="P9" t="s">
        <v>939</v>
      </c>
      <c r="Q9" t="s">
        <v>701</v>
      </c>
      <c r="R9">
        <v>1040000</v>
      </c>
      <c r="S9" t="s">
        <v>940</v>
      </c>
      <c r="T9" t="s">
        <v>699</v>
      </c>
      <c r="U9">
        <v>1040000</v>
      </c>
      <c r="V9" t="s">
        <v>949</v>
      </c>
      <c r="W9" t="s">
        <v>699</v>
      </c>
      <c r="X9">
        <v>943000</v>
      </c>
      <c r="Y9" t="s">
        <v>950</v>
      </c>
      <c r="Z9" t="s">
        <v>699</v>
      </c>
      <c r="AA9">
        <v>1150000</v>
      </c>
      <c r="AB9" t="s">
        <v>956</v>
      </c>
      <c r="AC9" t="s">
        <v>699</v>
      </c>
      <c r="AD9">
        <v>1050000</v>
      </c>
      <c r="AE9" t="s">
        <v>955</v>
      </c>
      <c r="AF9" t="s">
        <v>699</v>
      </c>
      <c r="AG9">
        <v>1190000</v>
      </c>
      <c r="AH9" t="s">
        <v>959</v>
      </c>
      <c r="AI9" t="s">
        <v>699</v>
      </c>
      <c r="AJ9">
        <v>1500000</v>
      </c>
      <c r="AK9" t="s">
        <v>960</v>
      </c>
      <c r="AL9" t="s">
        <v>699</v>
      </c>
      <c r="AM9">
        <v>1250000</v>
      </c>
      <c r="AN9" t="s">
        <v>962</v>
      </c>
      <c r="AO9" t="s">
        <v>699</v>
      </c>
      <c r="AP9">
        <v>1540000</v>
      </c>
      <c r="AQ9" t="s">
        <v>961</v>
      </c>
      <c r="AR9" t="s">
        <v>699</v>
      </c>
      <c r="AS9">
        <v>1480000</v>
      </c>
      <c r="AT9" t="s">
        <v>965</v>
      </c>
      <c r="AU9" t="s">
        <v>699</v>
      </c>
      <c r="AV9">
        <v>1090000</v>
      </c>
      <c r="AW9" t="s">
        <v>966</v>
      </c>
      <c r="AX9" t="s">
        <v>699</v>
      </c>
      <c r="AY9">
        <v>2189152</v>
      </c>
      <c r="AZ9" t="s">
        <v>967</v>
      </c>
      <c r="BA9" t="s">
        <v>701</v>
      </c>
      <c r="BB9">
        <v>909000</v>
      </c>
      <c r="BC9" t="s">
        <v>968</v>
      </c>
      <c r="BD9" t="s">
        <v>699</v>
      </c>
      <c r="BE9">
        <v>1019000</v>
      </c>
      <c r="BF9" t="s">
        <v>969</v>
      </c>
      <c r="BG9" t="s">
        <v>699</v>
      </c>
    </row>
    <row r="10" spans="1:59" x14ac:dyDescent="0.3">
      <c r="A10" s="1"/>
      <c r="B10" s="1"/>
      <c r="C10" s="1"/>
      <c r="D10" s="1"/>
      <c r="E10" s="1"/>
      <c r="F10" s="1"/>
      <c r="G10" s="16"/>
      <c r="H10" s="1"/>
    </row>
    <row r="11" spans="1:59" x14ac:dyDescent="0.3">
      <c r="A11" s="1"/>
      <c r="B11" s="1"/>
      <c r="C11" s="1"/>
      <c r="D11" s="1"/>
      <c r="E11" s="1"/>
      <c r="F11" s="1"/>
      <c r="G11" s="16"/>
      <c r="H11" s="1"/>
    </row>
    <row r="12" spans="1:59" ht="15.6" x14ac:dyDescent="0.3">
      <c r="A12" s="1"/>
      <c r="B12" s="1"/>
      <c r="C12" s="1">
        <v>10948315</v>
      </c>
      <c r="D12" s="30">
        <v>2718281828459040</v>
      </c>
      <c r="E12" s="1">
        <f>D12*C12</f>
        <v>2.9760605716745533E+22</v>
      </c>
      <c r="F12" s="1"/>
      <c r="G12" s="16"/>
      <c r="H12" s="1"/>
    </row>
    <row r="13" spans="1:59" x14ac:dyDescent="0.3">
      <c r="A13" s="1"/>
      <c r="B13" s="1"/>
      <c r="C13" s="1">
        <f>C3/C12</f>
        <v>99.999998173234872</v>
      </c>
      <c r="D13" s="1">
        <v>2.7182818284590402</v>
      </c>
      <c r="E13" s="1">
        <f>D13*C12</f>
        <v>29760605.716745537</v>
      </c>
      <c r="F13" s="1">
        <v>9</v>
      </c>
      <c r="G13" s="16"/>
      <c r="H13" s="1"/>
    </row>
    <row r="14" spans="1:59" x14ac:dyDescent="0.3">
      <c r="A14" s="1"/>
      <c r="B14" s="1"/>
      <c r="C14" s="1"/>
      <c r="D14" s="1"/>
      <c r="E14" s="1"/>
      <c r="F14" s="1">
        <f>F13+E13</f>
        <v>29760614.716745537</v>
      </c>
      <c r="G14" s="16"/>
      <c r="H14" s="1"/>
    </row>
    <row r="15" spans="1:59" x14ac:dyDescent="0.3">
      <c r="A15" s="1"/>
      <c r="B15" s="1"/>
      <c r="C15" s="1"/>
      <c r="D15" s="1"/>
      <c r="E15" s="1"/>
      <c r="F15" s="1"/>
      <c r="G15" s="16"/>
      <c r="H15" s="1"/>
    </row>
    <row r="16" spans="1:59" x14ac:dyDescent="0.3">
      <c r="A16" s="1"/>
      <c r="B16" s="1"/>
      <c r="C16" s="1"/>
      <c r="D16" s="1"/>
      <c r="E16" s="1"/>
      <c r="F16" s="1"/>
      <c r="G16" s="16"/>
      <c r="H16" s="1"/>
    </row>
    <row r="17" spans="1:8" x14ac:dyDescent="0.3">
      <c r="A17" s="1"/>
      <c r="B17" s="1"/>
      <c r="C17" s="1"/>
      <c r="D17" s="1"/>
      <c r="E17" s="1"/>
      <c r="F17" s="1"/>
      <c r="G17" s="16"/>
      <c r="H17" s="1"/>
    </row>
    <row r="18" spans="1:8" x14ac:dyDescent="0.3">
      <c r="A18" s="1"/>
      <c r="B18" s="1"/>
      <c r="C18" s="1"/>
      <c r="D18" s="1"/>
      <c r="E18" s="1"/>
      <c r="F18" s="1"/>
      <c r="G18" s="16"/>
      <c r="H18" s="1"/>
    </row>
    <row r="19" spans="1:8" x14ac:dyDescent="0.3">
      <c r="A19" s="1"/>
      <c r="B19" s="1"/>
      <c r="C19" s="1"/>
      <c r="D19" s="1"/>
      <c r="E19" s="1"/>
      <c r="F19" s="1"/>
      <c r="G19" s="16"/>
      <c r="H19" s="1"/>
    </row>
    <row r="20" spans="1:8" x14ac:dyDescent="0.3">
      <c r="A20" s="1"/>
      <c r="B20" s="1"/>
      <c r="C20" s="1"/>
      <c r="D20" s="1"/>
      <c r="E20" s="1"/>
      <c r="F20" s="1"/>
      <c r="G20" s="16"/>
      <c r="H20" s="1"/>
    </row>
    <row r="21" spans="1:8" x14ac:dyDescent="0.3">
      <c r="A21" s="1"/>
      <c r="B21" s="1"/>
      <c r="C21" s="1"/>
      <c r="D21" s="1"/>
      <c r="E21" s="1">
        <v>13190393</v>
      </c>
      <c r="F21" s="1"/>
      <c r="G21" s="16"/>
      <c r="H21" s="1"/>
    </row>
    <row r="22" spans="1:8" x14ac:dyDescent="0.3">
      <c r="E22" s="14">
        <v>2.71828</v>
      </c>
    </row>
    <row r="23" spans="1:8" x14ac:dyDescent="0.3">
      <c r="E23" s="15">
        <f>E21*E22</f>
        <v>35855181.48404</v>
      </c>
    </row>
    <row r="24" spans="1:8" x14ac:dyDescent="0.3">
      <c r="E24" s="15">
        <f>E23+9</f>
        <v>35855190.48404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677FC-965C-4971-8580-C6B6F9FAE2B4}">
  <dimension ref="A1:BD27"/>
  <sheetViews>
    <sheetView tabSelected="1" workbookViewId="0">
      <pane xSplit="2" ySplit="1" topLeftCell="H18" activePane="bottomRight" state="frozen"/>
      <selection pane="topRight" activeCell="C1" sqref="C1"/>
      <selection pane="bottomLeft" activeCell="A2" sqref="A2"/>
      <selection pane="bottomRight" activeCell="B17" sqref="B17:D23"/>
    </sheetView>
  </sheetViews>
  <sheetFormatPr defaultRowHeight="14.4" x14ac:dyDescent="0.3"/>
  <cols>
    <col min="2" max="2" width="11.88671875" bestFit="1" customWidth="1"/>
    <col min="3" max="3" width="28" bestFit="1" customWidth="1"/>
    <col min="4" max="4" width="23.77734375" style="4" bestFit="1" customWidth="1"/>
    <col min="5" max="5" width="24.33203125" style="4" bestFit="1" customWidth="1"/>
    <col min="6" max="6" width="24.33203125" bestFit="1" customWidth="1"/>
    <col min="7" max="7" width="23.33203125" bestFit="1" customWidth="1"/>
    <col min="8" max="8" width="11.88671875" bestFit="1" customWidth="1"/>
    <col min="9" max="10" width="14.109375" style="4" bestFit="1" customWidth="1"/>
    <col min="11" max="11" width="14.109375" bestFit="1" customWidth="1"/>
    <col min="12" max="12" width="13.109375" style="2" bestFit="1" customWidth="1"/>
    <col min="17" max="17" width="13.109375" style="2" bestFit="1" customWidth="1"/>
    <col min="22" max="22" width="13.109375" style="2" bestFit="1" customWidth="1"/>
    <col min="27" max="27" width="13.109375" style="2" bestFit="1" customWidth="1"/>
    <col min="32" max="32" width="13.109375" style="2" bestFit="1" customWidth="1"/>
    <col min="37" max="37" width="13.109375" style="2" bestFit="1" customWidth="1"/>
    <col min="42" max="42" width="13.109375" style="2" bestFit="1" customWidth="1"/>
    <col min="47" max="47" width="13.109375" style="2" bestFit="1" customWidth="1"/>
    <col min="52" max="52" width="13.109375" style="2" bestFit="1" customWidth="1"/>
  </cols>
  <sheetData>
    <row r="1" spans="1:56" x14ac:dyDescent="0.3">
      <c r="B1" t="s">
        <v>933</v>
      </c>
      <c r="C1" t="s">
        <v>934</v>
      </c>
      <c r="D1" s="4" t="s">
        <v>953</v>
      </c>
      <c r="E1" s="4" t="s">
        <v>954</v>
      </c>
      <c r="F1" t="s">
        <v>935</v>
      </c>
      <c r="G1" t="s">
        <v>936</v>
      </c>
      <c r="H1" t="s">
        <v>985</v>
      </c>
      <c r="I1" s="4" t="s">
        <v>982</v>
      </c>
      <c r="J1" s="4" t="s">
        <v>983</v>
      </c>
      <c r="K1" t="s">
        <v>984</v>
      </c>
      <c r="L1" s="2" t="s">
        <v>987</v>
      </c>
      <c r="M1" t="s">
        <v>943</v>
      </c>
      <c r="N1" t="s">
        <v>944</v>
      </c>
      <c r="O1" t="s">
        <v>945</v>
      </c>
      <c r="P1" t="s">
        <v>946</v>
      </c>
      <c r="Q1" s="2" t="s">
        <v>988</v>
      </c>
      <c r="R1" t="s">
        <v>943</v>
      </c>
      <c r="S1" t="s">
        <v>944</v>
      </c>
      <c r="T1" t="s">
        <v>945</v>
      </c>
      <c r="U1" t="s">
        <v>946</v>
      </c>
      <c r="V1" s="2" t="s">
        <v>989</v>
      </c>
      <c r="W1" t="s">
        <v>943</v>
      </c>
      <c r="X1" t="s">
        <v>944</v>
      </c>
      <c r="Y1" t="s">
        <v>945</v>
      </c>
      <c r="Z1" t="s">
        <v>946</v>
      </c>
      <c r="AA1" s="2" t="s">
        <v>991</v>
      </c>
      <c r="AB1" t="s">
        <v>943</v>
      </c>
      <c r="AC1" t="s">
        <v>944</v>
      </c>
      <c r="AD1" t="s">
        <v>945</v>
      </c>
      <c r="AE1" t="s">
        <v>946</v>
      </c>
      <c r="AF1" s="2" t="s">
        <v>992</v>
      </c>
      <c r="AG1" t="s">
        <v>943</v>
      </c>
      <c r="AH1" t="s">
        <v>944</v>
      </c>
      <c r="AI1" t="s">
        <v>945</v>
      </c>
      <c r="AJ1" t="s">
        <v>946</v>
      </c>
      <c r="AK1" s="2" t="s">
        <v>994</v>
      </c>
      <c r="AL1" t="s">
        <v>943</v>
      </c>
      <c r="AM1" t="s">
        <v>944</v>
      </c>
      <c r="AN1" t="s">
        <v>945</v>
      </c>
      <c r="AO1" t="s">
        <v>946</v>
      </c>
      <c r="AP1" s="2" t="s">
        <v>995</v>
      </c>
      <c r="AQ1" t="s">
        <v>943</v>
      </c>
      <c r="AR1" t="s">
        <v>944</v>
      </c>
      <c r="AS1" t="s">
        <v>945</v>
      </c>
      <c r="AT1" t="s">
        <v>946</v>
      </c>
      <c r="AU1" s="2" t="s">
        <v>999</v>
      </c>
      <c r="AV1" t="s">
        <v>943</v>
      </c>
      <c r="AW1" t="s">
        <v>944</v>
      </c>
      <c r="AX1" t="s">
        <v>945</v>
      </c>
      <c r="AY1" t="s">
        <v>946</v>
      </c>
      <c r="AZ1" s="2" t="s">
        <v>1000</v>
      </c>
      <c r="BA1" t="s">
        <v>943</v>
      </c>
      <c r="BB1" t="s">
        <v>944</v>
      </c>
      <c r="BC1" t="s">
        <v>945</v>
      </c>
      <c r="BD1" t="s">
        <v>946</v>
      </c>
    </row>
    <row r="2" spans="1:56" x14ac:dyDescent="0.3">
      <c r="A2">
        <v>1</v>
      </c>
      <c r="B2" s="1">
        <v>50</v>
      </c>
      <c r="C2" s="1">
        <v>0</v>
      </c>
      <c r="D2" s="2">
        <f>K2</f>
        <v>1368539350</v>
      </c>
      <c r="E2" s="2">
        <f t="shared" ref="E2:E13" si="0">B2*$G$2</f>
        <v>1368539350</v>
      </c>
      <c r="F2" s="1">
        <f>D2</f>
        <v>1368539350</v>
      </c>
      <c r="G2" s="1">
        <v>27370787</v>
      </c>
      <c r="H2" s="31"/>
      <c r="I2" s="2">
        <f>E2</f>
        <v>1368539350</v>
      </c>
      <c r="J2" s="2"/>
      <c r="K2" s="9">
        <f>I2</f>
        <v>1368539350</v>
      </c>
      <c r="L2" s="2">
        <v>2880000</v>
      </c>
      <c r="M2" t="s">
        <v>939</v>
      </c>
      <c r="N2" t="s">
        <v>701</v>
      </c>
      <c r="O2">
        <v>12</v>
      </c>
      <c r="P2">
        <v>2</v>
      </c>
      <c r="Q2" s="2">
        <v>2880000</v>
      </c>
      <c r="R2" t="s">
        <v>939</v>
      </c>
      <c r="S2" t="s">
        <v>701</v>
      </c>
      <c r="T2">
        <v>12</v>
      </c>
      <c r="U2">
        <v>2</v>
      </c>
      <c r="V2" s="2">
        <v>990000</v>
      </c>
      <c r="W2" t="s">
        <v>990</v>
      </c>
      <c r="X2" t="s">
        <v>699</v>
      </c>
      <c r="Y2">
        <v>6</v>
      </c>
      <c r="Z2">
        <v>7</v>
      </c>
      <c r="AA2" s="2">
        <v>2880000</v>
      </c>
      <c r="AB2" t="s">
        <v>939</v>
      </c>
      <c r="AC2" t="s">
        <v>701</v>
      </c>
      <c r="AD2">
        <v>12</v>
      </c>
      <c r="AE2">
        <v>2</v>
      </c>
      <c r="AF2" s="2">
        <v>990000</v>
      </c>
      <c r="AG2" t="s">
        <v>990</v>
      </c>
      <c r="AH2" t="s">
        <v>699</v>
      </c>
      <c r="AI2">
        <v>6</v>
      </c>
      <c r="AJ2">
        <v>7</v>
      </c>
      <c r="AK2" s="2">
        <v>2880000</v>
      </c>
      <c r="AL2" t="s">
        <v>939</v>
      </c>
      <c r="AM2" t="s">
        <v>701</v>
      </c>
      <c r="AN2">
        <v>12</v>
      </c>
      <c r="AO2">
        <v>2</v>
      </c>
      <c r="AP2" s="2">
        <v>990000</v>
      </c>
      <c r="AQ2" t="s">
        <v>990</v>
      </c>
      <c r="AR2" t="s">
        <v>699</v>
      </c>
      <c r="AS2">
        <v>6</v>
      </c>
      <c r="AT2">
        <v>7</v>
      </c>
      <c r="AU2" s="2">
        <v>2880000</v>
      </c>
      <c r="AV2" t="s">
        <v>939</v>
      </c>
      <c r="AW2" t="s">
        <v>701</v>
      </c>
      <c r="AX2">
        <v>12</v>
      </c>
      <c r="AY2">
        <v>2</v>
      </c>
      <c r="AZ2" s="2">
        <v>990000</v>
      </c>
      <c r="BA2" t="s">
        <v>990</v>
      </c>
      <c r="BB2" t="s">
        <v>699</v>
      </c>
      <c r="BC2">
        <v>6</v>
      </c>
      <c r="BD2">
        <v>7</v>
      </c>
    </row>
    <row r="3" spans="1:56" x14ac:dyDescent="0.3">
      <c r="A3">
        <v>2</v>
      </c>
      <c r="B3" s="1">
        <v>70</v>
      </c>
      <c r="C3" s="1">
        <v>0</v>
      </c>
      <c r="D3" s="2">
        <f>K3</f>
        <v>1915955090</v>
      </c>
      <c r="E3" s="2">
        <f t="shared" si="0"/>
        <v>1915955090</v>
      </c>
      <c r="F3" s="1">
        <f>D3</f>
        <v>1915955090</v>
      </c>
      <c r="G3" s="1">
        <v>27370787</v>
      </c>
      <c r="H3" s="31"/>
      <c r="I3" s="2">
        <f>E3</f>
        <v>1915955090</v>
      </c>
      <c r="J3" s="2"/>
      <c r="K3" s="9">
        <f>I3</f>
        <v>1915955090</v>
      </c>
      <c r="L3" s="2">
        <v>1040000</v>
      </c>
      <c r="M3" t="s">
        <v>940</v>
      </c>
      <c r="N3" t="s">
        <v>699</v>
      </c>
      <c r="O3">
        <v>15</v>
      </c>
      <c r="P3">
        <v>5</v>
      </c>
      <c r="Q3" s="2">
        <v>1040000</v>
      </c>
      <c r="R3" t="s">
        <v>940</v>
      </c>
      <c r="S3" t="s">
        <v>699</v>
      </c>
      <c r="T3">
        <v>15</v>
      </c>
      <c r="U3">
        <v>5</v>
      </c>
      <c r="AA3" s="2">
        <v>1040000</v>
      </c>
      <c r="AB3" t="s">
        <v>940</v>
      </c>
      <c r="AC3" t="s">
        <v>699</v>
      </c>
      <c r="AD3">
        <v>15</v>
      </c>
      <c r="AE3">
        <v>5</v>
      </c>
      <c r="AF3" s="2">
        <v>2880000</v>
      </c>
      <c r="AG3" t="s">
        <v>993</v>
      </c>
      <c r="AH3" t="s">
        <v>701</v>
      </c>
      <c r="AI3">
        <v>12</v>
      </c>
      <c r="AJ3">
        <v>4</v>
      </c>
      <c r="AK3" s="2">
        <v>1040000</v>
      </c>
      <c r="AL3" t="s">
        <v>940</v>
      </c>
      <c r="AM3" t="s">
        <v>699</v>
      </c>
      <c r="AN3">
        <v>15</v>
      </c>
      <c r="AO3">
        <v>5</v>
      </c>
      <c r="AP3" s="2">
        <v>2880000</v>
      </c>
      <c r="AQ3" t="s">
        <v>993</v>
      </c>
      <c r="AR3" t="s">
        <v>701</v>
      </c>
      <c r="AS3">
        <v>12</v>
      </c>
      <c r="AT3">
        <v>4</v>
      </c>
      <c r="AU3" s="2">
        <v>1040000</v>
      </c>
      <c r="AV3" t="s">
        <v>940</v>
      </c>
      <c r="AW3" t="s">
        <v>699</v>
      </c>
      <c r="AX3">
        <v>15</v>
      </c>
      <c r="AY3">
        <v>5</v>
      </c>
      <c r="AZ3" s="2">
        <v>2880000</v>
      </c>
      <c r="BA3" t="s">
        <v>993</v>
      </c>
      <c r="BB3" t="s">
        <v>701</v>
      </c>
      <c r="BC3">
        <v>12</v>
      </c>
      <c r="BD3">
        <v>4</v>
      </c>
    </row>
    <row r="4" spans="1:56" x14ac:dyDescent="0.3">
      <c r="A4">
        <v>3</v>
      </c>
      <c r="B4" s="1">
        <v>80</v>
      </c>
      <c r="C4" s="1">
        <f>L25</f>
        <v>7500000</v>
      </c>
      <c r="D4" s="2">
        <f>K4</f>
        <v>2103661800</v>
      </c>
      <c r="E4" s="2">
        <f t="shared" si="0"/>
        <v>2189662960</v>
      </c>
      <c r="F4" s="1">
        <f t="shared" ref="F4:F13" si="1">G4*B4</f>
        <v>1589662960</v>
      </c>
      <c r="G4" s="1">
        <f t="shared" ref="G4:G13" si="2">$G$2-C4</f>
        <v>19870787</v>
      </c>
      <c r="H4" s="31"/>
      <c r="I4" s="2">
        <v>2103661800</v>
      </c>
      <c r="J4" s="2"/>
      <c r="K4" s="9">
        <f>I4</f>
        <v>2103661800</v>
      </c>
      <c r="L4" s="2">
        <v>1040000</v>
      </c>
      <c r="M4" t="s">
        <v>949</v>
      </c>
      <c r="N4" t="s">
        <v>699</v>
      </c>
      <c r="O4">
        <v>14</v>
      </c>
      <c r="P4">
        <v>2</v>
      </c>
      <c r="Q4" s="2">
        <v>1040000</v>
      </c>
      <c r="R4" t="s">
        <v>949</v>
      </c>
      <c r="S4" t="s">
        <v>699</v>
      </c>
      <c r="T4">
        <v>14</v>
      </c>
      <c r="U4">
        <v>2</v>
      </c>
      <c r="AA4" s="2">
        <v>1040000</v>
      </c>
      <c r="AB4" t="s">
        <v>949</v>
      </c>
      <c r="AC4" t="s">
        <v>699</v>
      </c>
      <c r="AD4">
        <v>14</v>
      </c>
      <c r="AE4">
        <v>2</v>
      </c>
      <c r="AK4" s="2">
        <v>1040000</v>
      </c>
      <c r="AL4" t="s">
        <v>949</v>
      </c>
      <c r="AM4" t="s">
        <v>699</v>
      </c>
      <c r="AN4">
        <v>14</v>
      </c>
      <c r="AO4">
        <v>2</v>
      </c>
      <c r="AP4" s="2">
        <v>1040000</v>
      </c>
      <c r="AQ4" t="s">
        <v>996</v>
      </c>
      <c r="AR4" t="s">
        <v>699</v>
      </c>
      <c r="AS4">
        <v>15</v>
      </c>
      <c r="AT4">
        <v>6</v>
      </c>
      <c r="AU4" s="2">
        <v>1040000</v>
      </c>
      <c r="AV4" t="s">
        <v>949</v>
      </c>
      <c r="AW4" t="s">
        <v>699</v>
      </c>
      <c r="AX4">
        <v>14</v>
      </c>
      <c r="AY4">
        <v>2</v>
      </c>
      <c r="AZ4" s="2">
        <v>1040000</v>
      </c>
      <c r="BA4" t="s">
        <v>996</v>
      </c>
      <c r="BB4" t="s">
        <v>699</v>
      </c>
      <c r="BC4">
        <v>15</v>
      </c>
      <c r="BD4">
        <v>6</v>
      </c>
    </row>
    <row r="5" spans="1:56" x14ac:dyDescent="0.3">
      <c r="A5">
        <v>3</v>
      </c>
      <c r="B5" s="1">
        <v>80</v>
      </c>
      <c r="C5" s="1">
        <v>0</v>
      </c>
      <c r="D5" s="2">
        <f>K5</f>
        <v>2189662960</v>
      </c>
      <c r="E5" s="2">
        <f t="shared" si="0"/>
        <v>2189662960</v>
      </c>
      <c r="F5" s="1">
        <f t="shared" si="1"/>
        <v>2189662960</v>
      </c>
      <c r="G5" s="1">
        <f t="shared" si="2"/>
        <v>27370787</v>
      </c>
      <c r="H5" s="31">
        <v>0.5</v>
      </c>
      <c r="I5" s="2">
        <f>E5</f>
        <v>2189662960</v>
      </c>
      <c r="J5" s="2"/>
      <c r="K5" s="9">
        <f>I5</f>
        <v>2189662960</v>
      </c>
      <c r="L5" s="2">
        <v>1550000</v>
      </c>
      <c r="M5" t="s">
        <v>986</v>
      </c>
      <c r="N5" t="s">
        <v>699</v>
      </c>
      <c r="O5">
        <v>11</v>
      </c>
      <c r="P5">
        <v>2</v>
      </c>
      <c r="Q5" s="2">
        <v>1550000</v>
      </c>
      <c r="R5" t="s">
        <v>986</v>
      </c>
      <c r="S5" t="s">
        <v>699</v>
      </c>
      <c r="T5">
        <v>11</v>
      </c>
      <c r="U5">
        <v>2</v>
      </c>
      <c r="AA5" s="2">
        <v>1550000</v>
      </c>
      <c r="AB5" t="s">
        <v>986</v>
      </c>
      <c r="AC5" t="s">
        <v>699</v>
      </c>
      <c r="AD5">
        <v>11</v>
      </c>
      <c r="AE5">
        <v>2</v>
      </c>
      <c r="AK5" s="2">
        <v>1550000</v>
      </c>
      <c r="AL5" t="s">
        <v>986</v>
      </c>
      <c r="AM5" t="s">
        <v>699</v>
      </c>
      <c r="AN5">
        <v>11</v>
      </c>
      <c r="AO5">
        <v>2</v>
      </c>
      <c r="AP5" s="2">
        <v>1040000</v>
      </c>
      <c r="AQ5" t="s">
        <v>998</v>
      </c>
      <c r="AR5" t="s">
        <v>699</v>
      </c>
      <c r="AS5">
        <v>14</v>
      </c>
      <c r="AT5">
        <v>3</v>
      </c>
      <c r="AU5" s="2">
        <v>1550000</v>
      </c>
      <c r="AV5" t="s">
        <v>986</v>
      </c>
      <c r="AW5" t="s">
        <v>699</v>
      </c>
      <c r="AX5">
        <v>11</v>
      </c>
      <c r="AY5">
        <v>2</v>
      </c>
      <c r="AZ5" s="2">
        <v>1040000</v>
      </c>
      <c r="BA5" t="s">
        <v>998</v>
      </c>
      <c r="BB5" t="s">
        <v>699</v>
      </c>
      <c r="BC5">
        <v>14</v>
      </c>
      <c r="BD5">
        <v>3</v>
      </c>
    </row>
    <row r="6" spans="1:56" x14ac:dyDescent="0.3">
      <c r="A6">
        <v>4</v>
      </c>
      <c r="B6" s="1">
        <v>90</v>
      </c>
      <c r="C6" s="1">
        <f>Q25</f>
        <v>8443000</v>
      </c>
      <c r="D6" s="2">
        <f>K6</f>
        <v>2295838700</v>
      </c>
      <c r="E6" s="2">
        <f t="shared" si="0"/>
        <v>2463370830</v>
      </c>
      <c r="F6" s="1">
        <f t="shared" si="1"/>
        <v>1703500830</v>
      </c>
      <c r="G6" s="1">
        <f t="shared" si="2"/>
        <v>18927787</v>
      </c>
      <c r="H6" s="31"/>
      <c r="I6" s="2">
        <f>2295838700</f>
        <v>2295838700</v>
      </c>
      <c r="J6" s="2"/>
      <c r="K6" s="9">
        <f>I6</f>
        <v>2295838700</v>
      </c>
      <c r="L6" s="2">
        <v>990000</v>
      </c>
      <c r="M6" t="s">
        <v>937</v>
      </c>
      <c r="N6" t="s">
        <v>699</v>
      </c>
      <c r="O6">
        <v>6</v>
      </c>
      <c r="P6">
        <v>8</v>
      </c>
      <c r="Q6" s="2">
        <v>990000</v>
      </c>
      <c r="R6" t="s">
        <v>937</v>
      </c>
      <c r="S6" t="s">
        <v>699</v>
      </c>
      <c r="T6">
        <v>6</v>
      </c>
      <c r="U6">
        <v>8</v>
      </c>
      <c r="AA6" s="2">
        <v>990000</v>
      </c>
      <c r="AB6" t="s">
        <v>937</v>
      </c>
      <c r="AC6" t="s">
        <v>699</v>
      </c>
      <c r="AD6">
        <v>6</v>
      </c>
      <c r="AE6">
        <v>8</v>
      </c>
      <c r="AK6" s="2">
        <v>990000</v>
      </c>
      <c r="AL6" t="s">
        <v>937</v>
      </c>
      <c r="AM6" t="s">
        <v>699</v>
      </c>
      <c r="AN6">
        <v>6</v>
      </c>
      <c r="AO6">
        <v>8</v>
      </c>
      <c r="AP6" s="2">
        <v>1550000</v>
      </c>
      <c r="AQ6" t="s">
        <v>997</v>
      </c>
      <c r="AR6" t="s">
        <v>699</v>
      </c>
      <c r="AS6">
        <v>11</v>
      </c>
      <c r="AT6">
        <v>4</v>
      </c>
      <c r="AU6" s="2">
        <v>990000</v>
      </c>
      <c r="AV6" t="s">
        <v>937</v>
      </c>
      <c r="AW6" t="s">
        <v>699</v>
      </c>
      <c r="AX6">
        <v>6</v>
      </c>
      <c r="AY6">
        <v>8</v>
      </c>
      <c r="AZ6" s="2">
        <v>1550000</v>
      </c>
      <c r="BA6" t="s">
        <v>997</v>
      </c>
      <c r="BB6" t="s">
        <v>699</v>
      </c>
      <c r="BC6">
        <v>11</v>
      </c>
      <c r="BD6">
        <v>4</v>
      </c>
    </row>
    <row r="7" spans="1:56" x14ac:dyDescent="0.3">
      <c r="A7">
        <v>4</v>
      </c>
      <c r="B7" s="1">
        <v>90</v>
      </c>
      <c r="C7" s="1">
        <f>V25</f>
        <v>990000</v>
      </c>
      <c r="D7" s="2">
        <f t="shared" ref="D7:D13" si="3">I7</f>
        <v>2451655700</v>
      </c>
      <c r="E7" s="2">
        <f t="shared" si="0"/>
        <v>2463370830</v>
      </c>
      <c r="F7" s="1">
        <f t="shared" si="1"/>
        <v>2374270830</v>
      </c>
      <c r="G7" s="1">
        <f t="shared" si="2"/>
        <v>26380787</v>
      </c>
      <c r="H7" s="31">
        <v>0.5</v>
      </c>
      <c r="I7" s="2">
        <f>2451655700</f>
        <v>2451655700</v>
      </c>
      <c r="J7" s="2">
        <v>91143790</v>
      </c>
      <c r="K7" s="9">
        <f>(I7*H7)+(H7*J7)</f>
        <v>1271399745</v>
      </c>
      <c r="Q7" s="2">
        <v>943000</v>
      </c>
      <c r="R7" t="s">
        <v>950</v>
      </c>
      <c r="S7" t="s">
        <v>699</v>
      </c>
      <c r="T7">
        <v>16</v>
      </c>
      <c r="U7">
        <v>5</v>
      </c>
      <c r="AA7" s="2">
        <v>943000</v>
      </c>
      <c r="AB7" t="s">
        <v>950</v>
      </c>
      <c r="AC7" t="s">
        <v>699</v>
      </c>
      <c r="AD7">
        <v>16</v>
      </c>
      <c r="AE7">
        <v>5</v>
      </c>
      <c r="AK7" s="2">
        <v>943000</v>
      </c>
      <c r="AL7" t="s">
        <v>950</v>
      </c>
      <c r="AM7" t="s">
        <v>699</v>
      </c>
      <c r="AN7">
        <v>16</v>
      </c>
      <c r="AO7">
        <v>5</v>
      </c>
      <c r="AP7" s="2">
        <v>1190000</v>
      </c>
      <c r="AQ7" t="s">
        <v>959</v>
      </c>
      <c r="AR7" t="s">
        <v>699</v>
      </c>
      <c r="AS7">
        <v>1</v>
      </c>
      <c r="AT7">
        <v>4</v>
      </c>
      <c r="AU7" s="2">
        <v>943000</v>
      </c>
      <c r="AV7" t="s">
        <v>950</v>
      </c>
      <c r="AW7" t="s">
        <v>699</v>
      </c>
      <c r="AX7">
        <v>16</v>
      </c>
      <c r="AY7">
        <v>5</v>
      </c>
      <c r="AZ7" s="2">
        <v>1190000</v>
      </c>
      <c r="BA7" t="s">
        <v>959</v>
      </c>
      <c r="BB7" t="s">
        <v>699</v>
      </c>
      <c r="BC7">
        <v>1</v>
      </c>
      <c r="BD7">
        <v>4</v>
      </c>
    </row>
    <row r="8" spans="1:56" x14ac:dyDescent="0.3">
      <c r="A8">
        <v>5</v>
      </c>
      <c r="B8" s="1">
        <v>100</v>
      </c>
      <c r="C8" s="1">
        <f>AA25</f>
        <v>10643000</v>
      </c>
      <c r="D8" s="2">
        <f t="shared" si="3"/>
        <v>2471941800</v>
      </c>
      <c r="E8" s="2">
        <f t="shared" si="0"/>
        <v>2737078700</v>
      </c>
      <c r="F8" s="1">
        <f t="shared" si="1"/>
        <v>1672778700</v>
      </c>
      <c r="G8" s="1">
        <f t="shared" si="2"/>
        <v>16727787</v>
      </c>
      <c r="H8" s="31"/>
      <c r="I8" s="2">
        <v>2471941800</v>
      </c>
      <c r="J8" s="2"/>
      <c r="K8" s="9"/>
      <c r="AA8" s="2">
        <v>1050000</v>
      </c>
      <c r="AB8" t="s">
        <v>955</v>
      </c>
      <c r="AC8" t="s">
        <v>699</v>
      </c>
      <c r="AD8">
        <v>17</v>
      </c>
      <c r="AE8">
        <v>6</v>
      </c>
      <c r="AK8" s="2">
        <v>1050000</v>
      </c>
      <c r="AL8" t="s">
        <v>955</v>
      </c>
      <c r="AM8" t="s">
        <v>699</v>
      </c>
      <c r="AN8">
        <v>17</v>
      </c>
      <c r="AO8">
        <v>6</v>
      </c>
      <c r="AU8" s="2">
        <v>1050000</v>
      </c>
      <c r="AV8" t="s">
        <v>955</v>
      </c>
      <c r="AW8" t="s">
        <v>699</v>
      </c>
      <c r="AX8">
        <v>17</v>
      </c>
      <c r="AY8">
        <v>6</v>
      </c>
      <c r="AZ8" s="2">
        <v>1050000</v>
      </c>
      <c r="BA8" t="s">
        <v>955</v>
      </c>
      <c r="BB8" t="s">
        <v>699</v>
      </c>
      <c r="BC8">
        <v>17</v>
      </c>
      <c r="BD8">
        <v>6</v>
      </c>
    </row>
    <row r="9" spans="1:56" x14ac:dyDescent="0.3">
      <c r="A9">
        <v>5</v>
      </c>
      <c r="B9" s="1">
        <v>100</v>
      </c>
      <c r="C9" s="1">
        <f>AF25</f>
        <v>3870000</v>
      </c>
      <c r="D9" s="2">
        <f t="shared" si="3"/>
        <v>2702129000</v>
      </c>
      <c r="E9" s="2">
        <f t="shared" si="0"/>
        <v>2737078700</v>
      </c>
      <c r="F9" s="1">
        <f t="shared" si="1"/>
        <v>2350078700</v>
      </c>
      <c r="G9" s="1">
        <f t="shared" si="2"/>
        <v>23500787</v>
      </c>
      <c r="H9" s="31"/>
      <c r="I9" s="2">
        <v>2702129000</v>
      </c>
      <c r="J9" s="2">
        <v>190934590</v>
      </c>
      <c r="K9" s="9"/>
      <c r="AA9" s="2">
        <v>1150000</v>
      </c>
      <c r="AB9" t="s">
        <v>956</v>
      </c>
      <c r="AC9" t="s">
        <v>699</v>
      </c>
      <c r="AD9">
        <v>13</v>
      </c>
      <c r="AE9">
        <v>1</v>
      </c>
      <c r="AK9" s="2">
        <v>1150000</v>
      </c>
      <c r="AL9" t="s">
        <v>956</v>
      </c>
      <c r="AM9" t="s">
        <v>699</v>
      </c>
      <c r="AN9">
        <v>13</v>
      </c>
      <c r="AO9">
        <v>1</v>
      </c>
      <c r="AU9" s="2">
        <v>1150000</v>
      </c>
      <c r="AV9" t="s">
        <v>956</v>
      </c>
      <c r="AW9" t="s">
        <v>699</v>
      </c>
      <c r="AX9">
        <v>13</v>
      </c>
      <c r="AY9">
        <v>1</v>
      </c>
      <c r="AZ9" s="2">
        <v>943000</v>
      </c>
      <c r="BA9" t="s">
        <v>1001</v>
      </c>
      <c r="BB9" t="s">
        <v>699</v>
      </c>
      <c r="BC9">
        <v>16</v>
      </c>
      <c r="BD9">
        <v>6</v>
      </c>
    </row>
    <row r="10" spans="1:56" x14ac:dyDescent="0.3">
      <c r="A10">
        <v>6</v>
      </c>
      <c r="B10" s="1">
        <v>130</v>
      </c>
      <c r="C10" s="1">
        <f>AK25</f>
        <v>14623000</v>
      </c>
      <c r="D10" s="2">
        <f t="shared" si="3"/>
        <v>2951233000</v>
      </c>
      <c r="E10" s="2">
        <f t="shared" si="0"/>
        <v>3558202310</v>
      </c>
      <c r="F10" s="1">
        <f t="shared" si="1"/>
        <v>1657212310</v>
      </c>
      <c r="G10" s="1">
        <f t="shared" si="2"/>
        <v>12747787</v>
      </c>
      <c r="H10" s="31"/>
      <c r="I10" s="2">
        <v>2951233000</v>
      </c>
      <c r="J10" s="2">
        <v>0</v>
      </c>
      <c r="K10" s="9">
        <f>I10</f>
        <v>2951233000</v>
      </c>
      <c r="AK10" s="2">
        <v>1540000</v>
      </c>
      <c r="AL10" t="s">
        <v>961</v>
      </c>
      <c r="AM10" t="s">
        <v>699</v>
      </c>
      <c r="AN10">
        <v>18</v>
      </c>
      <c r="AO10">
        <v>1</v>
      </c>
      <c r="AU10" s="2">
        <v>1540000</v>
      </c>
      <c r="AV10" t="s">
        <v>961</v>
      </c>
      <c r="AW10" t="s">
        <v>699</v>
      </c>
      <c r="AX10">
        <v>18</v>
      </c>
      <c r="AY10">
        <v>1</v>
      </c>
      <c r="AZ10" s="2">
        <v>1150000</v>
      </c>
      <c r="BA10" t="s">
        <v>1002</v>
      </c>
      <c r="BB10" t="s">
        <v>699</v>
      </c>
      <c r="BC10">
        <v>13</v>
      </c>
      <c r="BD10">
        <v>3</v>
      </c>
    </row>
    <row r="11" spans="1:56" x14ac:dyDescent="0.3">
      <c r="A11">
        <v>6</v>
      </c>
      <c r="B11" s="1">
        <v>130</v>
      </c>
      <c r="C11" s="1">
        <f>AP25</f>
        <v>8690000</v>
      </c>
      <c r="D11" s="2">
        <f t="shared" si="3"/>
        <v>3255506600</v>
      </c>
      <c r="E11" s="2">
        <f t="shared" si="0"/>
        <v>3558202310</v>
      </c>
      <c r="F11" s="1">
        <f t="shared" si="1"/>
        <v>2428502310</v>
      </c>
      <c r="G11" s="1">
        <f t="shared" si="2"/>
        <v>18680787</v>
      </c>
      <c r="H11" s="31">
        <v>0.5</v>
      </c>
      <c r="I11" s="2">
        <v>3255506600</v>
      </c>
      <c r="J11" s="2">
        <v>554344390</v>
      </c>
      <c r="K11" s="9">
        <f>(I11*H11)+(H11*J11)</f>
        <v>1904925495</v>
      </c>
      <c r="AK11" s="2">
        <v>1250000</v>
      </c>
      <c r="AL11" t="s">
        <v>962</v>
      </c>
      <c r="AM11" t="s">
        <v>699</v>
      </c>
      <c r="AN11">
        <v>10</v>
      </c>
      <c r="AO11">
        <v>6</v>
      </c>
      <c r="AU11" s="2">
        <v>1250000</v>
      </c>
      <c r="AV11" t="s">
        <v>962</v>
      </c>
      <c r="AW11" t="s">
        <v>699</v>
      </c>
      <c r="AX11">
        <v>10</v>
      </c>
      <c r="AY11">
        <v>6</v>
      </c>
      <c r="AZ11" s="2">
        <v>1090000</v>
      </c>
      <c r="BA11" t="s">
        <v>966</v>
      </c>
      <c r="BB11" t="s">
        <v>699</v>
      </c>
      <c r="BC11">
        <v>3</v>
      </c>
      <c r="BD11">
        <v>4</v>
      </c>
    </row>
    <row r="12" spans="1:56" x14ac:dyDescent="0.3">
      <c r="A12">
        <v>7</v>
      </c>
      <c r="B12" s="1">
        <v>150</v>
      </c>
      <c r="C12" s="1">
        <f>AU25</f>
        <v>20621000</v>
      </c>
      <c r="D12" s="2">
        <f t="shared" si="3"/>
        <v>3153464800</v>
      </c>
      <c r="E12" s="2">
        <f t="shared" si="0"/>
        <v>4105618050</v>
      </c>
      <c r="F12" s="1">
        <f t="shared" si="1"/>
        <v>1012468050</v>
      </c>
      <c r="G12" s="1">
        <f t="shared" si="2"/>
        <v>6749787</v>
      </c>
      <c r="H12" s="1"/>
      <c r="I12" s="2">
        <v>3153464800</v>
      </c>
      <c r="J12" s="2"/>
      <c r="K12" s="9">
        <f>I12</f>
        <v>3153464800</v>
      </c>
      <c r="AK12" s="2">
        <v>1190000</v>
      </c>
      <c r="AL12" t="s">
        <v>959</v>
      </c>
      <c r="AM12" t="s">
        <v>699</v>
      </c>
      <c r="AN12">
        <v>1</v>
      </c>
      <c r="AO12">
        <v>4</v>
      </c>
      <c r="AU12" s="2">
        <v>1190000</v>
      </c>
      <c r="AV12" t="s">
        <v>959</v>
      </c>
      <c r="AW12" t="s">
        <v>699</v>
      </c>
      <c r="AX12">
        <v>1</v>
      </c>
      <c r="AY12">
        <v>4</v>
      </c>
      <c r="AZ12" s="2">
        <v>1480000</v>
      </c>
      <c r="BA12" t="s">
        <v>965</v>
      </c>
      <c r="BB12" t="s">
        <v>699</v>
      </c>
      <c r="BC12">
        <v>2</v>
      </c>
      <c r="BD12">
        <v>4</v>
      </c>
    </row>
    <row r="13" spans="1:56" x14ac:dyDescent="0.3">
      <c r="A13">
        <v>7</v>
      </c>
      <c r="B13" s="1">
        <v>150</v>
      </c>
      <c r="C13" s="1">
        <f>AZ25</f>
        <v>14403000</v>
      </c>
      <c r="D13" s="2">
        <f t="shared" si="3"/>
        <v>3453145400</v>
      </c>
      <c r="E13" s="2">
        <f t="shared" si="0"/>
        <v>4105618050</v>
      </c>
      <c r="F13" s="1">
        <f t="shared" si="1"/>
        <v>1945168050</v>
      </c>
      <c r="G13" s="1">
        <f t="shared" si="2"/>
        <v>12967787</v>
      </c>
      <c r="H13" s="31">
        <v>0.5</v>
      </c>
      <c r="I13" s="2">
        <v>3453145400</v>
      </c>
      <c r="J13" s="2">
        <v>554344390</v>
      </c>
      <c r="K13" s="9">
        <f>(I13*H13)+(H13*J13)</f>
        <v>2003744895</v>
      </c>
      <c r="AU13" s="2">
        <v>1500000</v>
      </c>
      <c r="AV13" t="s">
        <v>960</v>
      </c>
      <c r="AW13" t="s">
        <v>699</v>
      </c>
      <c r="AX13">
        <v>9</v>
      </c>
      <c r="AY13">
        <v>6</v>
      </c>
    </row>
    <row r="14" spans="1:56" x14ac:dyDescent="0.3">
      <c r="AU14" s="2">
        <v>1019000</v>
      </c>
      <c r="AV14" t="s">
        <v>969</v>
      </c>
      <c r="AW14" t="s">
        <v>699</v>
      </c>
      <c r="AX14">
        <v>8</v>
      </c>
      <c r="AY14">
        <v>7</v>
      </c>
    </row>
    <row r="15" spans="1:56" x14ac:dyDescent="0.3">
      <c r="AU15" s="2">
        <v>909000</v>
      </c>
      <c r="AV15" t="s">
        <v>968</v>
      </c>
      <c r="AW15" t="s">
        <v>699</v>
      </c>
      <c r="AX15">
        <v>7</v>
      </c>
      <c r="AY15">
        <v>9</v>
      </c>
    </row>
    <row r="16" spans="1:56" ht="15.6" x14ac:dyDescent="0.35">
      <c r="B16" t="s">
        <v>1003</v>
      </c>
      <c r="C16" t="s">
        <v>1006</v>
      </c>
      <c r="D16" t="s">
        <v>1007</v>
      </c>
      <c r="E16" t="s">
        <v>1004</v>
      </c>
      <c r="F16" t="s">
        <v>1005</v>
      </c>
      <c r="G16" t="s">
        <v>954</v>
      </c>
      <c r="H16" t="s">
        <v>1008</v>
      </c>
      <c r="I16" t="s">
        <v>1009</v>
      </c>
      <c r="J16" t="s">
        <v>1011</v>
      </c>
      <c r="K16" t="s">
        <v>1010</v>
      </c>
      <c r="AU16" s="2">
        <v>1090000</v>
      </c>
      <c r="AV16" t="s">
        <v>966</v>
      </c>
      <c r="AW16" t="s">
        <v>699</v>
      </c>
      <c r="AX16">
        <v>3</v>
      </c>
      <c r="AY16">
        <v>4</v>
      </c>
    </row>
    <row r="17" spans="2:53" x14ac:dyDescent="0.3">
      <c r="B17">
        <v>50</v>
      </c>
      <c r="C17">
        <v>0</v>
      </c>
      <c r="D17">
        <v>0</v>
      </c>
      <c r="E17" s="13">
        <f>D2</f>
        <v>1368539350</v>
      </c>
      <c r="F17" s="13">
        <f>D2</f>
        <v>1368539350</v>
      </c>
      <c r="G17" s="13">
        <f>E2</f>
        <v>1368539350</v>
      </c>
      <c r="H17">
        <v>0</v>
      </c>
      <c r="I17">
        <v>0</v>
      </c>
      <c r="J17">
        <v>0</v>
      </c>
      <c r="K17">
        <v>0</v>
      </c>
      <c r="AU17" s="2">
        <v>1480000</v>
      </c>
      <c r="AV17" t="s">
        <v>965</v>
      </c>
      <c r="AW17" t="s">
        <v>699</v>
      </c>
      <c r="AX17">
        <v>2</v>
      </c>
      <c r="AY17">
        <v>4</v>
      </c>
    </row>
    <row r="18" spans="2:53" x14ac:dyDescent="0.3">
      <c r="B18">
        <v>70</v>
      </c>
      <c r="C18">
        <v>0</v>
      </c>
      <c r="D18">
        <v>0</v>
      </c>
      <c r="E18" s="13">
        <f>D3</f>
        <v>1915955090</v>
      </c>
      <c r="F18" s="13">
        <f>D3</f>
        <v>1915955090</v>
      </c>
      <c r="G18" s="13">
        <f>E3</f>
        <v>1915955090</v>
      </c>
      <c r="H18">
        <v>0</v>
      </c>
      <c r="I18">
        <v>0</v>
      </c>
      <c r="J18">
        <v>0</v>
      </c>
      <c r="K18">
        <v>0</v>
      </c>
    </row>
    <row r="19" spans="2:53" x14ac:dyDescent="0.3">
      <c r="B19">
        <v>80</v>
      </c>
      <c r="C19" s="13">
        <f>C4</f>
        <v>7500000</v>
      </c>
      <c r="D19">
        <v>0</v>
      </c>
      <c r="E19" s="13">
        <f>D4</f>
        <v>2103661800</v>
      </c>
      <c r="F19" s="13">
        <f>D5</f>
        <v>2189662960</v>
      </c>
      <c r="G19" s="13">
        <f>E4</f>
        <v>2189662960</v>
      </c>
      <c r="H19">
        <v>5</v>
      </c>
      <c r="I19">
        <v>3</v>
      </c>
      <c r="J19">
        <v>0</v>
      </c>
      <c r="K19">
        <v>0</v>
      </c>
    </row>
    <row r="20" spans="2:53" x14ac:dyDescent="0.3">
      <c r="B20">
        <v>90</v>
      </c>
      <c r="C20" s="13">
        <f>C6</f>
        <v>8443000</v>
      </c>
      <c r="D20" s="13">
        <f>C7</f>
        <v>990000</v>
      </c>
      <c r="E20" s="13">
        <f>D6</f>
        <v>2295838700</v>
      </c>
      <c r="F20" s="13">
        <f>D7</f>
        <v>2451655700</v>
      </c>
      <c r="G20" s="13">
        <f>E6</f>
        <v>2463370830</v>
      </c>
      <c r="H20">
        <v>6</v>
      </c>
      <c r="I20">
        <v>3</v>
      </c>
      <c r="J20">
        <v>1</v>
      </c>
      <c r="K20">
        <v>1</v>
      </c>
      <c r="AY20">
        <v>4</v>
      </c>
    </row>
    <row r="21" spans="2:53" x14ac:dyDescent="0.3">
      <c r="B21">
        <v>100</v>
      </c>
      <c r="C21" s="13">
        <f>C8</f>
        <v>10643000</v>
      </c>
      <c r="D21" s="13">
        <f>C9</f>
        <v>3870000</v>
      </c>
      <c r="E21" s="13">
        <f>D8</f>
        <v>2471941800</v>
      </c>
      <c r="F21" s="13">
        <f>D9</f>
        <v>2702129000</v>
      </c>
      <c r="G21" s="13">
        <f>E8</f>
        <v>2737078700</v>
      </c>
      <c r="H21">
        <v>8</v>
      </c>
      <c r="I21">
        <v>5</v>
      </c>
      <c r="J21">
        <v>2</v>
      </c>
      <c r="K21">
        <v>2</v>
      </c>
      <c r="AY21">
        <v>9</v>
      </c>
    </row>
    <row r="22" spans="2:53" x14ac:dyDescent="0.3">
      <c r="B22">
        <v>130</v>
      </c>
      <c r="C22" s="13">
        <f>C10</f>
        <v>14623000</v>
      </c>
      <c r="D22" s="13">
        <f>C11</f>
        <v>8690000</v>
      </c>
      <c r="E22" s="13">
        <f>D10</f>
        <v>2951233000</v>
      </c>
      <c r="F22" s="13">
        <f>D11</f>
        <v>3255506600</v>
      </c>
      <c r="G22" s="13">
        <f>E10</f>
        <v>3558202310</v>
      </c>
      <c r="H22">
        <v>11</v>
      </c>
      <c r="I22">
        <v>6</v>
      </c>
      <c r="J22">
        <v>6</v>
      </c>
      <c r="K22">
        <v>4</v>
      </c>
      <c r="AY22">
        <v>7</v>
      </c>
    </row>
    <row r="23" spans="2:53" x14ac:dyDescent="0.3">
      <c r="B23">
        <v>150</v>
      </c>
      <c r="C23" s="13">
        <f>C12</f>
        <v>20621000</v>
      </c>
      <c r="D23" s="13">
        <f>C13</f>
        <v>14403000</v>
      </c>
      <c r="E23" s="13">
        <f>D12</f>
        <v>3153464800</v>
      </c>
      <c r="F23" s="13">
        <f>D13</f>
        <v>3453145400</v>
      </c>
      <c r="G23" s="13">
        <f>E12</f>
        <v>4105618050</v>
      </c>
      <c r="H23">
        <v>16</v>
      </c>
      <c r="I23">
        <v>8</v>
      </c>
      <c r="J23">
        <v>11</v>
      </c>
      <c r="K23">
        <v>4</v>
      </c>
      <c r="AY23">
        <v>6</v>
      </c>
    </row>
    <row r="24" spans="2:53" x14ac:dyDescent="0.3">
      <c r="AY24">
        <v>1</v>
      </c>
    </row>
    <row r="25" spans="2:53" x14ac:dyDescent="0.3">
      <c r="L25" s="2">
        <f>SUM(L2:L24)</f>
        <v>7500000</v>
      </c>
      <c r="Q25" s="2">
        <f>SUM(Q2:Q24)</f>
        <v>8443000</v>
      </c>
      <c r="R25" s="2"/>
      <c r="V25" s="2">
        <f>SUM(V2:V24)</f>
        <v>990000</v>
      </c>
      <c r="W25" s="2"/>
      <c r="AA25" s="2">
        <f>SUM(AA2:AA24)</f>
        <v>10643000</v>
      </c>
      <c r="AB25" s="2"/>
      <c r="AF25" s="2">
        <f>SUM(AF2:AF24)</f>
        <v>3870000</v>
      </c>
      <c r="AG25" s="2"/>
      <c r="AK25" s="2">
        <f>SUM(AK2:AK24)</f>
        <v>14623000</v>
      </c>
      <c r="AL25" s="2"/>
      <c r="AP25" s="2">
        <f>SUM(AP2:AP24)</f>
        <v>8690000</v>
      </c>
      <c r="AQ25" s="2"/>
      <c r="AU25" s="2">
        <f>SUM(AU2:AU24)</f>
        <v>20621000</v>
      </c>
      <c r="AV25" s="2"/>
      <c r="AY25">
        <v>5</v>
      </c>
      <c r="AZ25" s="2">
        <f>SUM(AZ2:AZ24)</f>
        <v>14403000</v>
      </c>
      <c r="BA25" s="2"/>
    </row>
    <row r="26" spans="2:53" x14ac:dyDescent="0.3">
      <c r="AY26">
        <v>8</v>
      </c>
    </row>
    <row r="27" spans="2:53" x14ac:dyDescent="0.3">
      <c r="AY27">
        <v>2</v>
      </c>
    </row>
  </sheetData>
  <phoneticPr fontId="3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917D-1624-4F0C-B8FA-1E214314E4B8}">
  <dimension ref="A1:L23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3" sqref="D3:L23"/>
    </sheetView>
  </sheetViews>
  <sheetFormatPr defaultRowHeight="14.4" x14ac:dyDescent="0.3"/>
  <cols>
    <col min="2" max="2" width="16.5546875" customWidth="1"/>
    <col min="3" max="3" width="14.109375" customWidth="1"/>
    <col min="5" max="5" width="9.5546875" customWidth="1"/>
  </cols>
  <sheetData>
    <row r="1" spans="1:12" x14ac:dyDescent="0.3">
      <c r="B1" t="s">
        <v>692</v>
      </c>
      <c r="D1" t="s">
        <v>577</v>
      </c>
      <c r="E1" t="s">
        <v>578</v>
      </c>
      <c r="F1" t="s">
        <v>579</v>
      </c>
      <c r="G1" t="s">
        <v>580</v>
      </c>
      <c r="H1" t="s">
        <v>581</v>
      </c>
      <c r="I1" t="s">
        <v>582</v>
      </c>
      <c r="J1" t="s">
        <v>583</v>
      </c>
      <c r="K1" t="s">
        <v>584</v>
      </c>
      <c r="L1" t="s">
        <v>585</v>
      </c>
    </row>
    <row r="2" spans="1:12" x14ac:dyDescent="0.3">
      <c r="D2" t="s">
        <v>822</v>
      </c>
      <c r="E2" t="s">
        <v>834</v>
      </c>
      <c r="F2" t="s">
        <v>821</v>
      </c>
      <c r="G2" t="s">
        <v>837</v>
      </c>
      <c r="H2" t="s">
        <v>827</v>
      </c>
      <c r="I2" t="s">
        <v>841</v>
      </c>
      <c r="J2" t="s">
        <v>828</v>
      </c>
      <c r="K2" t="s">
        <v>842</v>
      </c>
      <c r="L2" t="s">
        <v>832</v>
      </c>
    </row>
    <row r="3" spans="1:12" x14ac:dyDescent="0.3">
      <c r="A3" t="s">
        <v>600</v>
      </c>
      <c r="B3" s="4" t="s">
        <v>28</v>
      </c>
      <c r="C3" t="s">
        <v>722</v>
      </c>
      <c r="D3">
        <v>1035</v>
      </c>
      <c r="E3">
        <v>950</v>
      </c>
      <c r="F3">
        <v>925</v>
      </c>
      <c r="G3">
        <v>560</v>
      </c>
      <c r="H3">
        <v>1650</v>
      </c>
      <c r="I3">
        <v>1535</v>
      </c>
      <c r="J3">
        <v>1200</v>
      </c>
      <c r="K3">
        <v>1360</v>
      </c>
      <c r="L3" s="12">
        <v>900</v>
      </c>
    </row>
    <row r="4" spans="1:12" x14ac:dyDescent="0.3">
      <c r="A4" t="s">
        <v>601</v>
      </c>
      <c r="B4" s="4" t="s">
        <v>35</v>
      </c>
      <c r="C4" t="s">
        <v>722</v>
      </c>
      <c r="D4">
        <v>1200</v>
      </c>
      <c r="E4">
        <v>1100</v>
      </c>
      <c r="F4">
        <v>1075</v>
      </c>
      <c r="G4">
        <v>710</v>
      </c>
      <c r="H4">
        <v>1100</v>
      </c>
      <c r="I4">
        <v>1670</v>
      </c>
      <c r="J4">
        <v>1110</v>
      </c>
      <c r="K4">
        <v>1270</v>
      </c>
      <c r="L4" s="12">
        <v>950</v>
      </c>
    </row>
    <row r="5" spans="1:12" x14ac:dyDescent="0.3">
      <c r="A5" t="s">
        <v>602</v>
      </c>
      <c r="B5" s="4" t="s">
        <v>42</v>
      </c>
      <c r="C5" t="s">
        <v>722</v>
      </c>
      <c r="D5">
        <v>1135</v>
      </c>
      <c r="E5">
        <v>1060</v>
      </c>
      <c r="F5">
        <v>1045</v>
      </c>
      <c r="G5">
        <v>675</v>
      </c>
      <c r="H5">
        <v>1760</v>
      </c>
      <c r="I5">
        <v>1645</v>
      </c>
      <c r="J5">
        <v>1125</v>
      </c>
      <c r="K5">
        <v>1270</v>
      </c>
      <c r="L5" s="12">
        <v>900</v>
      </c>
    </row>
    <row r="6" spans="1:12" x14ac:dyDescent="0.3">
      <c r="A6" t="s">
        <v>603</v>
      </c>
      <c r="B6" s="4" t="s">
        <v>104</v>
      </c>
      <c r="C6" t="s">
        <v>725</v>
      </c>
      <c r="D6" s="12">
        <v>1820</v>
      </c>
      <c r="E6" s="12">
        <v>1900</v>
      </c>
      <c r="F6" s="12">
        <v>1765</v>
      </c>
      <c r="G6" s="12">
        <v>2000</v>
      </c>
      <c r="H6" s="12">
        <v>1000</v>
      </c>
      <c r="I6" s="12">
        <v>1050</v>
      </c>
      <c r="J6" s="12">
        <v>730</v>
      </c>
      <c r="K6" s="12">
        <v>800</v>
      </c>
      <c r="L6" s="12">
        <v>330</v>
      </c>
    </row>
    <row r="7" spans="1:12" x14ac:dyDescent="0.3">
      <c r="A7" t="s">
        <v>604</v>
      </c>
      <c r="B7" s="4" t="s">
        <v>140</v>
      </c>
      <c r="C7" t="s">
        <v>978</v>
      </c>
      <c r="D7" s="12">
        <v>400</v>
      </c>
      <c r="E7" s="12">
        <v>500</v>
      </c>
      <c r="F7" s="12">
        <v>500</v>
      </c>
      <c r="G7" s="12">
        <v>450</v>
      </c>
      <c r="H7" s="12">
        <v>1300</v>
      </c>
      <c r="I7" s="12">
        <v>1310</v>
      </c>
      <c r="J7" s="12">
        <v>1700</v>
      </c>
      <c r="K7" s="12">
        <v>1800</v>
      </c>
      <c r="L7" s="12">
        <v>1640</v>
      </c>
    </row>
    <row r="8" spans="1:12" x14ac:dyDescent="0.3">
      <c r="A8" t="s">
        <v>605</v>
      </c>
      <c r="B8" s="4" t="s">
        <v>203</v>
      </c>
      <c r="C8" t="s">
        <v>732</v>
      </c>
      <c r="D8">
        <v>2270</v>
      </c>
      <c r="E8">
        <v>2060</v>
      </c>
      <c r="F8">
        <v>2025</v>
      </c>
      <c r="G8">
        <v>1735</v>
      </c>
      <c r="H8" s="12">
        <v>1450</v>
      </c>
      <c r="I8" s="12">
        <v>1500</v>
      </c>
      <c r="J8">
        <v>160</v>
      </c>
      <c r="K8">
        <v>10</v>
      </c>
      <c r="L8" s="12">
        <v>360</v>
      </c>
    </row>
    <row r="9" spans="1:12" x14ac:dyDescent="0.3">
      <c r="A9" t="s">
        <v>606</v>
      </c>
      <c r="B9" s="4" t="s">
        <v>361</v>
      </c>
      <c r="C9" t="s">
        <v>736</v>
      </c>
      <c r="D9">
        <v>1330</v>
      </c>
      <c r="E9">
        <v>1125</v>
      </c>
      <c r="F9">
        <v>1070</v>
      </c>
      <c r="G9">
        <v>790</v>
      </c>
      <c r="H9">
        <v>1600</v>
      </c>
      <c r="I9">
        <v>1460</v>
      </c>
      <c r="J9">
        <v>800</v>
      </c>
      <c r="K9">
        <v>940</v>
      </c>
      <c r="L9" s="12">
        <v>400</v>
      </c>
    </row>
    <row r="10" spans="1:12" x14ac:dyDescent="0.3">
      <c r="A10" t="s">
        <v>607</v>
      </c>
      <c r="B10" s="4" t="s">
        <v>387</v>
      </c>
      <c r="C10" t="s">
        <v>736</v>
      </c>
      <c r="D10">
        <v>1590</v>
      </c>
      <c r="E10">
        <v>1470</v>
      </c>
      <c r="F10">
        <v>1440</v>
      </c>
      <c r="G10">
        <v>1085</v>
      </c>
      <c r="H10">
        <v>2090</v>
      </c>
      <c r="I10">
        <v>1950</v>
      </c>
      <c r="J10" s="12">
        <v>400</v>
      </c>
      <c r="K10" s="12">
        <v>580</v>
      </c>
      <c r="L10" s="12">
        <v>800</v>
      </c>
    </row>
    <row r="11" spans="1:12" x14ac:dyDescent="0.3">
      <c r="A11" t="s">
        <v>608</v>
      </c>
      <c r="B11" s="4" t="s">
        <v>865</v>
      </c>
      <c r="C11" t="s">
        <v>864</v>
      </c>
      <c r="D11" s="12">
        <v>1200</v>
      </c>
      <c r="E11" s="12">
        <v>1150</v>
      </c>
      <c r="F11" s="12">
        <v>1100</v>
      </c>
      <c r="G11">
        <v>1815</v>
      </c>
      <c r="H11" s="12">
        <v>530</v>
      </c>
      <c r="I11" s="12">
        <v>450</v>
      </c>
      <c r="J11" s="12">
        <v>880</v>
      </c>
      <c r="K11" s="12">
        <v>800</v>
      </c>
      <c r="L11" s="12">
        <v>350</v>
      </c>
    </row>
    <row r="12" spans="1:12" x14ac:dyDescent="0.3">
      <c r="A12" t="s">
        <v>609</v>
      </c>
      <c r="B12" s="4" t="s">
        <v>871</v>
      </c>
      <c r="C12" t="s">
        <v>864</v>
      </c>
      <c r="D12">
        <v>1475</v>
      </c>
      <c r="E12">
        <v>1235</v>
      </c>
      <c r="F12">
        <v>1200</v>
      </c>
      <c r="G12">
        <v>1420</v>
      </c>
      <c r="H12" s="12">
        <v>560</v>
      </c>
      <c r="I12" s="12">
        <v>455</v>
      </c>
      <c r="J12" s="12">
        <v>1000</v>
      </c>
      <c r="K12" s="12">
        <v>800</v>
      </c>
      <c r="L12" s="12">
        <v>280</v>
      </c>
    </row>
    <row r="13" spans="1:12" x14ac:dyDescent="0.3">
      <c r="A13" t="s">
        <v>610</v>
      </c>
      <c r="B13" s="4" t="s">
        <v>877</v>
      </c>
      <c r="C13" t="s">
        <v>929</v>
      </c>
      <c r="D13">
        <v>100</v>
      </c>
      <c r="E13">
        <v>100</v>
      </c>
      <c r="F13">
        <v>150</v>
      </c>
      <c r="G13">
        <v>390</v>
      </c>
      <c r="H13">
        <v>870</v>
      </c>
      <c r="I13">
        <v>840</v>
      </c>
      <c r="J13">
        <v>1960</v>
      </c>
      <c r="K13">
        <v>2100</v>
      </c>
      <c r="L13" s="12">
        <v>1100</v>
      </c>
    </row>
    <row r="14" spans="1:12" x14ac:dyDescent="0.3">
      <c r="A14" t="s">
        <v>611</v>
      </c>
      <c r="B14" s="4" t="s">
        <v>883</v>
      </c>
      <c r="C14" t="s">
        <v>929</v>
      </c>
      <c r="D14">
        <v>290</v>
      </c>
      <c r="E14">
        <v>80</v>
      </c>
      <c r="F14">
        <v>90</v>
      </c>
      <c r="G14">
        <v>315</v>
      </c>
      <c r="H14">
        <v>870</v>
      </c>
      <c r="I14">
        <v>820</v>
      </c>
      <c r="J14">
        <v>1870</v>
      </c>
      <c r="K14">
        <v>2000</v>
      </c>
      <c r="L14" s="12">
        <v>1040</v>
      </c>
    </row>
    <row r="15" spans="1:12" x14ac:dyDescent="0.3">
      <c r="A15" t="s">
        <v>612</v>
      </c>
      <c r="B15" s="4" t="s">
        <v>890</v>
      </c>
      <c r="C15" t="s">
        <v>929</v>
      </c>
      <c r="D15">
        <v>270</v>
      </c>
      <c r="E15">
        <v>330</v>
      </c>
      <c r="F15">
        <v>380</v>
      </c>
      <c r="G15">
        <v>705</v>
      </c>
      <c r="H15">
        <v>720</v>
      </c>
      <c r="I15">
        <v>760</v>
      </c>
      <c r="J15">
        <v>2245</v>
      </c>
      <c r="K15">
        <v>2400</v>
      </c>
      <c r="L15" s="12">
        <v>1280</v>
      </c>
    </row>
    <row r="16" spans="1:12" x14ac:dyDescent="0.3">
      <c r="A16" t="s">
        <v>613</v>
      </c>
      <c r="B16" s="4" t="s">
        <v>896</v>
      </c>
      <c r="C16" t="s">
        <v>929</v>
      </c>
      <c r="D16">
        <v>200</v>
      </c>
      <c r="E16">
        <v>130</v>
      </c>
      <c r="F16">
        <v>180</v>
      </c>
      <c r="G16">
        <v>500</v>
      </c>
      <c r="H16">
        <v>770</v>
      </c>
      <c r="I16">
        <v>760</v>
      </c>
      <c r="J16">
        <v>2050</v>
      </c>
      <c r="K16">
        <v>2190</v>
      </c>
      <c r="L16" s="12">
        <v>1100</v>
      </c>
    </row>
    <row r="17" spans="1:12" x14ac:dyDescent="0.3">
      <c r="A17" t="s">
        <v>614</v>
      </c>
      <c r="B17" s="4" t="s">
        <v>903</v>
      </c>
      <c r="C17" t="s">
        <v>742</v>
      </c>
      <c r="D17">
        <v>890</v>
      </c>
      <c r="E17">
        <v>700</v>
      </c>
      <c r="F17">
        <v>710</v>
      </c>
      <c r="G17">
        <v>1030</v>
      </c>
      <c r="H17">
        <v>80</v>
      </c>
      <c r="I17">
        <v>150</v>
      </c>
      <c r="J17">
        <v>2270</v>
      </c>
      <c r="K17" s="12">
        <v>1650</v>
      </c>
      <c r="L17" s="12">
        <v>985</v>
      </c>
    </row>
    <row r="18" spans="1:12" x14ac:dyDescent="0.3">
      <c r="A18" t="s">
        <v>615</v>
      </c>
      <c r="B18" s="4" t="s">
        <v>909</v>
      </c>
      <c r="C18" t="s">
        <v>742</v>
      </c>
      <c r="D18">
        <v>970</v>
      </c>
      <c r="E18">
        <v>960</v>
      </c>
      <c r="F18">
        <v>965</v>
      </c>
      <c r="G18">
        <v>1300</v>
      </c>
      <c r="H18">
        <v>200</v>
      </c>
      <c r="I18">
        <v>360</v>
      </c>
      <c r="J18">
        <v>2525</v>
      </c>
      <c r="K18" s="12">
        <v>1900</v>
      </c>
      <c r="L18" s="12">
        <v>1200</v>
      </c>
    </row>
    <row r="19" spans="1:12" x14ac:dyDescent="0.3">
      <c r="A19" t="s">
        <v>616</v>
      </c>
      <c r="B19" s="4" t="s">
        <v>504</v>
      </c>
      <c r="C19" t="s">
        <v>742</v>
      </c>
      <c r="D19">
        <v>650</v>
      </c>
      <c r="E19">
        <v>450</v>
      </c>
      <c r="F19">
        <v>420</v>
      </c>
      <c r="G19">
        <v>750</v>
      </c>
      <c r="H19">
        <v>370</v>
      </c>
      <c r="I19">
        <v>320</v>
      </c>
      <c r="J19">
        <v>2080</v>
      </c>
      <c r="K19">
        <v>1890</v>
      </c>
      <c r="L19" s="12">
        <v>920</v>
      </c>
    </row>
    <row r="20" spans="1:12" x14ac:dyDescent="0.3">
      <c r="A20" t="s">
        <v>617</v>
      </c>
      <c r="B20" s="4" t="s">
        <v>915</v>
      </c>
      <c r="C20" t="s">
        <v>930</v>
      </c>
      <c r="D20" s="12">
        <v>200</v>
      </c>
      <c r="E20" s="12">
        <v>500</v>
      </c>
      <c r="F20" s="12">
        <v>500</v>
      </c>
      <c r="G20" s="12">
        <v>550</v>
      </c>
      <c r="H20" s="12">
        <v>1200</v>
      </c>
      <c r="I20" s="12">
        <v>1200</v>
      </c>
      <c r="J20" s="12">
        <v>1900</v>
      </c>
      <c r="K20" s="12">
        <v>2050</v>
      </c>
      <c r="L20" s="12">
        <v>1780</v>
      </c>
    </row>
    <row r="21" spans="1:12" x14ac:dyDescent="0.3">
      <c r="A21" t="s">
        <v>618</v>
      </c>
      <c r="B21" s="4" t="s">
        <v>922</v>
      </c>
      <c r="C21" t="s">
        <v>931</v>
      </c>
      <c r="D21" s="12">
        <v>900</v>
      </c>
      <c r="E21" s="12">
        <v>1160</v>
      </c>
      <c r="F21" s="12">
        <v>1145</v>
      </c>
      <c r="G21" s="12">
        <v>760</v>
      </c>
      <c r="H21" s="12">
        <v>1900</v>
      </c>
      <c r="I21" s="12">
        <v>1900</v>
      </c>
      <c r="J21" s="12">
        <v>730</v>
      </c>
      <c r="K21" s="12">
        <v>800</v>
      </c>
      <c r="L21" s="12">
        <v>1280</v>
      </c>
    </row>
    <row r="22" spans="1:12" x14ac:dyDescent="0.3">
      <c r="A22" t="s">
        <v>619</v>
      </c>
      <c r="B22" s="4" t="s">
        <v>928</v>
      </c>
      <c r="C22" t="s">
        <v>931</v>
      </c>
      <c r="D22" s="12">
        <v>1200</v>
      </c>
      <c r="E22" s="12">
        <v>1220</v>
      </c>
      <c r="F22" s="12">
        <v>1410</v>
      </c>
      <c r="G22" s="12">
        <v>850</v>
      </c>
      <c r="H22" s="12">
        <v>1960</v>
      </c>
      <c r="I22" s="12">
        <v>1900</v>
      </c>
      <c r="J22" s="12">
        <v>620</v>
      </c>
      <c r="K22" s="12">
        <v>565</v>
      </c>
      <c r="L22" s="12">
        <v>1170</v>
      </c>
    </row>
    <row r="23" spans="1:12" x14ac:dyDescent="0.3">
      <c r="A23" t="s">
        <v>620</v>
      </c>
      <c r="B23" s="4" t="s">
        <v>482</v>
      </c>
      <c r="C23" t="s">
        <v>740</v>
      </c>
      <c r="D23" s="12">
        <v>950</v>
      </c>
      <c r="E23" s="12">
        <v>1310</v>
      </c>
      <c r="F23" s="12">
        <v>1200</v>
      </c>
      <c r="G23" s="12">
        <v>840</v>
      </c>
      <c r="H23" s="12">
        <v>2100</v>
      </c>
      <c r="I23" s="12">
        <v>2055</v>
      </c>
      <c r="J23" s="12">
        <v>400</v>
      </c>
      <c r="K23" s="12">
        <v>400</v>
      </c>
      <c r="L23" s="12">
        <v>1200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E37E-44C2-4E8D-BA5C-D2FF8F97EF59}">
  <dimension ref="A1:X93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sqref="A1:XFD1048576"/>
    </sheetView>
  </sheetViews>
  <sheetFormatPr defaultRowHeight="14.4" x14ac:dyDescent="0.3"/>
  <cols>
    <col min="2" max="2" width="24.77734375" bestFit="1" customWidth="1"/>
    <col min="4" max="4" width="18.44140625" customWidth="1"/>
  </cols>
  <sheetData>
    <row r="1" spans="1:24" x14ac:dyDescent="0.3">
      <c r="B1" t="s">
        <v>692</v>
      </c>
      <c r="C1" t="s">
        <v>749</v>
      </c>
      <c r="D1" t="s">
        <v>756</v>
      </c>
      <c r="E1" t="s">
        <v>759</v>
      </c>
      <c r="F1" t="s">
        <v>756</v>
      </c>
      <c r="G1" t="s">
        <v>756</v>
      </c>
      <c r="H1" t="s">
        <v>755</v>
      </c>
      <c r="I1" t="s">
        <v>768</v>
      </c>
      <c r="J1" t="s">
        <v>771</v>
      </c>
      <c r="K1" t="s">
        <v>774</v>
      </c>
      <c r="L1" t="s">
        <v>780</v>
      </c>
      <c r="M1" t="s">
        <v>781</v>
      </c>
      <c r="N1" t="s">
        <v>788</v>
      </c>
      <c r="O1" t="s">
        <v>783</v>
      </c>
      <c r="P1" t="s">
        <v>790</v>
      </c>
      <c r="Q1" t="s">
        <v>791</v>
      </c>
      <c r="R1" t="s">
        <v>786</v>
      </c>
      <c r="S1" t="s">
        <v>797</v>
      </c>
      <c r="T1" t="s">
        <v>801</v>
      </c>
      <c r="U1" t="s">
        <v>793</v>
      </c>
      <c r="V1" t="s">
        <v>799</v>
      </c>
      <c r="W1" t="s">
        <v>800</v>
      </c>
      <c r="X1" t="s">
        <v>802</v>
      </c>
    </row>
    <row r="2" spans="1:24" x14ac:dyDescent="0.3">
      <c r="A2" t="s">
        <v>600</v>
      </c>
      <c r="B2" t="s">
        <v>717</v>
      </c>
      <c r="C2">
        <v>2102</v>
      </c>
      <c r="D2">
        <v>2126</v>
      </c>
      <c r="E2">
        <v>2008</v>
      </c>
      <c r="F2">
        <v>2126</v>
      </c>
      <c r="G2">
        <v>2126</v>
      </c>
      <c r="H2">
        <v>2128</v>
      </c>
      <c r="I2">
        <v>1331</v>
      </c>
      <c r="J2">
        <v>1132</v>
      </c>
      <c r="K2">
        <v>1493</v>
      </c>
      <c r="L2">
        <v>1095</v>
      </c>
      <c r="M2">
        <v>1304</v>
      </c>
      <c r="N2">
        <v>1912</v>
      </c>
      <c r="O2">
        <v>1904</v>
      </c>
      <c r="P2">
        <v>1914</v>
      </c>
      <c r="Q2">
        <v>1968</v>
      </c>
      <c r="R2">
        <v>1927</v>
      </c>
      <c r="S2">
        <v>1216</v>
      </c>
      <c r="T2">
        <v>1471</v>
      </c>
      <c r="U2">
        <v>1670</v>
      </c>
      <c r="V2">
        <v>1230</v>
      </c>
      <c r="W2">
        <v>1186</v>
      </c>
      <c r="X2">
        <v>1598</v>
      </c>
    </row>
    <row r="3" spans="1:24" x14ac:dyDescent="0.3">
      <c r="A3" t="s">
        <v>601</v>
      </c>
      <c r="B3" t="s">
        <v>716</v>
      </c>
      <c r="C3">
        <v>2156</v>
      </c>
      <c r="D3">
        <v>2159</v>
      </c>
      <c r="E3">
        <v>2101</v>
      </c>
      <c r="F3">
        <v>2159</v>
      </c>
      <c r="G3">
        <v>2159</v>
      </c>
      <c r="H3">
        <v>2161</v>
      </c>
      <c r="I3">
        <v>1504</v>
      </c>
      <c r="J3">
        <v>1307</v>
      </c>
      <c r="K3">
        <v>1667</v>
      </c>
      <c r="L3">
        <v>1269</v>
      </c>
      <c r="M3">
        <v>1478</v>
      </c>
      <c r="N3">
        <v>2086</v>
      </c>
      <c r="O3">
        <v>2079</v>
      </c>
      <c r="P3">
        <v>2088</v>
      </c>
      <c r="Q3">
        <v>2142</v>
      </c>
      <c r="R3">
        <v>2101</v>
      </c>
      <c r="S3">
        <v>1390</v>
      </c>
      <c r="T3">
        <v>1646</v>
      </c>
      <c r="U3">
        <v>1845</v>
      </c>
      <c r="V3">
        <v>1405</v>
      </c>
      <c r="W3">
        <v>1314</v>
      </c>
      <c r="X3">
        <v>1772</v>
      </c>
    </row>
    <row r="4" spans="1:24" x14ac:dyDescent="0.3">
      <c r="A4" t="s">
        <v>602</v>
      </c>
      <c r="B4" t="s">
        <v>718</v>
      </c>
      <c r="C4">
        <v>2028</v>
      </c>
      <c r="D4">
        <v>2031</v>
      </c>
      <c r="E4">
        <v>1973</v>
      </c>
      <c r="F4">
        <v>2031</v>
      </c>
      <c r="G4">
        <v>2031</v>
      </c>
      <c r="H4">
        <v>2033</v>
      </c>
      <c r="I4">
        <v>1402</v>
      </c>
      <c r="J4">
        <v>1204</v>
      </c>
      <c r="K4">
        <v>1564</v>
      </c>
      <c r="L4">
        <v>1166</v>
      </c>
      <c r="M4">
        <v>1375</v>
      </c>
      <c r="N4">
        <v>1969</v>
      </c>
      <c r="O4">
        <v>1962</v>
      </c>
      <c r="P4">
        <v>1971</v>
      </c>
      <c r="Q4">
        <v>2025</v>
      </c>
      <c r="R4">
        <v>1984</v>
      </c>
      <c r="S4">
        <v>1287</v>
      </c>
      <c r="T4">
        <v>1504</v>
      </c>
      <c r="U4">
        <v>1621</v>
      </c>
      <c r="V4">
        <v>1263</v>
      </c>
      <c r="W4">
        <v>1186</v>
      </c>
      <c r="X4">
        <v>1631</v>
      </c>
    </row>
    <row r="5" spans="1:24" x14ac:dyDescent="0.3">
      <c r="A5" t="s">
        <v>603</v>
      </c>
      <c r="B5" t="s">
        <v>718</v>
      </c>
      <c r="C5">
        <v>2028</v>
      </c>
      <c r="D5">
        <v>2031</v>
      </c>
      <c r="E5">
        <v>1973</v>
      </c>
      <c r="F5">
        <v>2031</v>
      </c>
      <c r="G5">
        <v>2031</v>
      </c>
      <c r="H5">
        <v>2033</v>
      </c>
      <c r="I5">
        <v>1402</v>
      </c>
      <c r="J5">
        <v>1204</v>
      </c>
      <c r="K5">
        <v>1564</v>
      </c>
      <c r="L5">
        <v>1166</v>
      </c>
      <c r="M5">
        <v>1375</v>
      </c>
      <c r="N5">
        <v>1969</v>
      </c>
      <c r="O5">
        <v>1962</v>
      </c>
      <c r="P5">
        <v>1971</v>
      </c>
      <c r="Q5">
        <v>2025</v>
      </c>
      <c r="R5">
        <v>1984</v>
      </c>
      <c r="S5">
        <v>1287</v>
      </c>
      <c r="T5">
        <v>1504</v>
      </c>
      <c r="U5">
        <v>1621</v>
      </c>
      <c r="V5">
        <v>1263</v>
      </c>
      <c r="W5">
        <v>1186</v>
      </c>
      <c r="X5">
        <v>1631</v>
      </c>
    </row>
    <row r="6" spans="1:24" x14ac:dyDescent="0.3">
      <c r="A6" t="s">
        <v>604</v>
      </c>
      <c r="B6" t="s">
        <v>719</v>
      </c>
      <c r="C6">
        <v>943</v>
      </c>
      <c r="D6">
        <v>1008</v>
      </c>
      <c r="E6">
        <v>1125</v>
      </c>
      <c r="F6">
        <v>1008</v>
      </c>
      <c r="G6">
        <v>1008</v>
      </c>
      <c r="H6">
        <v>969</v>
      </c>
      <c r="I6">
        <v>1134</v>
      </c>
      <c r="J6">
        <v>1290</v>
      </c>
      <c r="K6">
        <v>1029</v>
      </c>
      <c r="L6">
        <v>1303</v>
      </c>
      <c r="M6">
        <v>1237</v>
      </c>
      <c r="N6">
        <v>2257</v>
      </c>
      <c r="O6">
        <v>2250</v>
      </c>
      <c r="P6">
        <v>2259</v>
      </c>
      <c r="Q6">
        <v>2313</v>
      </c>
      <c r="R6">
        <v>2272</v>
      </c>
      <c r="S6">
        <v>1272</v>
      </c>
      <c r="T6">
        <v>1053</v>
      </c>
      <c r="U6">
        <v>863</v>
      </c>
      <c r="V6">
        <v>1164</v>
      </c>
      <c r="W6">
        <v>1371</v>
      </c>
      <c r="X6">
        <v>1019</v>
      </c>
    </row>
    <row r="7" spans="1:24" x14ac:dyDescent="0.3">
      <c r="A7" t="s">
        <v>605</v>
      </c>
      <c r="B7" t="s">
        <v>720</v>
      </c>
      <c r="C7">
        <v>638</v>
      </c>
      <c r="D7">
        <v>702</v>
      </c>
      <c r="E7">
        <v>746</v>
      </c>
      <c r="F7">
        <v>702</v>
      </c>
      <c r="G7">
        <v>702</v>
      </c>
      <c r="H7">
        <v>663</v>
      </c>
      <c r="I7">
        <v>737</v>
      </c>
      <c r="J7">
        <v>1023</v>
      </c>
      <c r="K7">
        <v>983</v>
      </c>
      <c r="L7">
        <v>1036</v>
      </c>
      <c r="M7">
        <v>971</v>
      </c>
      <c r="N7">
        <v>2339</v>
      </c>
      <c r="O7">
        <v>2332</v>
      </c>
      <c r="P7">
        <v>2342</v>
      </c>
      <c r="Q7">
        <v>2396</v>
      </c>
      <c r="R7">
        <v>2355</v>
      </c>
      <c r="S7">
        <v>876</v>
      </c>
      <c r="T7">
        <v>656</v>
      </c>
      <c r="U7">
        <v>466</v>
      </c>
      <c r="V7">
        <v>768</v>
      </c>
      <c r="W7">
        <v>974</v>
      </c>
      <c r="X7">
        <v>622</v>
      </c>
    </row>
    <row r="8" spans="1:24" x14ac:dyDescent="0.3">
      <c r="A8" t="s">
        <v>606</v>
      </c>
      <c r="B8" t="s">
        <v>721</v>
      </c>
      <c r="C8">
        <v>614</v>
      </c>
      <c r="D8">
        <v>679</v>
      </c>
      <c r="E8">
        <v>723</v>
      </c>
      <c r="F8">
        <v>679</v>
      </c>
      <c r="G8">
        <v>679</v>
      </c>
      <c r="H8">
        <v>640</v>
      </c>
      <c r="I8">
        <v>805</v>
      </c>
      <c r="J8">
        <v>1091</v>
      </c>
      <c r="K8">
        <v>1051</v>
      </c>
      <c r="L8">
        <v>1103</v>
      </c>
      <c r="M8">
        <v>1038</v>
      </c>
      <c r="N8">
        <v>2047</v>
      </c>
      <c r="O8">
        <v>2400</v>
      </c>
      <c r="P8">
        <v>2409</v>
      </c>
      <c r="Q8">
        <v>2463</v>
      </c>
      <c r="R8">
        <v>2422</v>
      </c>
      <c r="S8">
        <v>943</v>
      </c>
      <c r="T8">
        <v>724</v>
      </c>
      <c r="U8">
        <v>534</v>
      </c>
      <c r="V8">
        <v>835</v>
      </c>
      <c r="W8">
        <v>1042</v>
      </c>
      <c r="X8">
        <v>690</v>
      </c>
    </row>
    <row r="9" spans="1:24" x14ac:dyDescent="0.3">
      <c r="A9" t="s">
        <v>607</v>
      </c>
      <c r="B9" t="s">
        <v>73</v>
      </c>
      <c r="C9">
        <v>1534</v>
      </c>
      <c r="D9">
        <v>1537</v>
      </c>
      <c r="E9">
        <v>1479</v>
      </c>
      <c r="F9">
        <v>1537</v>
      </c>
      <c r="G9">
        <v>1537</v>
      </c>
      <c r="H9">
        <v>1539</v>
      </c>
      <c r="I9">
        <v>1228</v>
      </c>
      <c r="J9">
        <v>1062</v>
      </c>
      <c r="K9">
        <v>1417</v>
      </c>
      <c r="L9">
        <v>1041</v>
      </c>
      <c r="M9">
        <v>1228</v>
      </c>
      <c r="N9">
        <v>2228</v>
      </c>
      <c r="O9">
        <v>2221</v>
      </c>
      <c r="P9">
        <v>2230</v>
      </c>
      <c r="Q9">
        <v>2284</v>
      </c>
      <c r="R9">
        <v>2243</v>
      </c>
      <c r="S9">
        <v>1068</v>
      </c>
      <c r="T9">
        <v>1249</v>
      </c>
      <c r="U9">
        <v>1367</v>
      </c>
      <c r="V9">
        <v>1008</v>
      </c>
      <c r="W9">
        <v>820</v>
      </c>
      <c r="X9">
        <v>1376</v>
      </c>
    </row>
    <row r="10" spans="1:24" x14ac:dyDescent="0.3">
      <c r="A10" t="s">
        <v>608</v>
      </c>
      <c r="B10" t="s">
        <v>78</v>
      </c>
      <c r="C10">
        <v>1493</v>
      </c>
      <c r="D10">
        <v>1496</v>
      </c>
      <c r="E10">
        <v>1437</v>
      </c>
      <c r="F10">
        <v>1496</v>
      </c>
      <c r="G10">
        <v>1496</v>
      </c>
      <c r="H10">
        <v>1497</v>
      </c>
      <c r="I10">
        <v>1080</v>
      </c>
      <c r="J10">
        <v>883</v>
      </c>
      <c r="K10">
        <v>1237</v>
      </c>
      <c r="L10">
        <v>862</v>
      </c>
      <c r="M10">
        <v>1049</v>
      </c>
      <c r="N10">
        <v>1998</v>
      </c>
      <c r="O10">
        <v>1991</v>
      </c>
      <c r="P10">
        <v>2000</v>
      </c>
      <c r="Q10">
        <v>2054</v>
      </c>
      <c r="R10">
        <v>2013</v>
      </c>
      <c r="S10">
        <v>966</v>
      </c>
      <c r="T10">
        <v>1170</v>
      </c>
      <c r="U10">
        <v>1287</v>
      </c>
      <c r="V10">
        <v>929</v>
      </c>
      <c r="W10">
        <v>775</v>
      </c>
      <c r="X10">
        <v>1297</v>
      </c>
    </row>
    <row r="11" spans="1:24" x14ac:dyDescent="0.3">
      <c r="A11" t="s">
        <v>609</v>
      </c>
      <c r="B11" t="s">
        <v>82</v>
      </c>
      <c r="C11">
        <v>1419</v>
      </c>
      <c r="D11">
        <v>1422</v>
      </c>
      <c r="E11">
        <v>1364</v>
      </c>
      <c r="F11">
        <v>1422</v>
      </c>
      <c r="G11">
        <v>1422</v>
      </c>
      <c r="H11">
        <v>1424</v>
      </c>
      <c r="I11">
        <v>1003</v>
      </c>
      <c r="J11">
        <v>806</v>
      </c>
      <c r="K11">
        <v>1161</v>
      </c>
      <c r="L11">
        <v>785</v>
      </c>
      <c r="M11">
        <v>972</v>
      </c>
      <c r="N11">
        <v>1991</v>
      </c>
      <c r="O11">
        <v>1984</v>
      </c>
      <c r="P11">
        <v>1993</v>
      </c>
      <c r="Q11">
        <v>2047</v>
      </c>
      <c r="R11">
        <v>2006</v>
      </c>
      <c r="S11">
        <v>889</v>
      </c>
      <c r="T11">
        <v>1093</v>
      </c>
      <c r="U11">
        <v>1210</v>
      </c>
      <c r="V11">
        <v>852</v>
      </c>
      <c r="W11">
        <v>702</v>
      </c>
      <c r="X11">
        <v>1220</v>
      </c>
    </row>
    <row r="12" spans="1:24" x14ac:dyDescent="0.3">
      <c r="A12" t="s">
        <v>610</v>
      </c>
      <c r="B12" t="s">
        <v>803</v>
      </c>
      <c r="C12">
        <v>1504</v>
      </c>
      <c r="D12">
        <v>1507</v>
      </c>
      <c r="E12">
        <v>1448</v>
      </c>
      <c r="F12">
        <v>1507</v>
      </c>
      <c r="G12">
        <v>1507</v>
      </c>
      <c r="H12">
        <v>1509</v>
      </c>
      <c r="I12">
        <v>1082</v>
      </c>
      <c r="J12">
        <v>885</v>
      </c>
      <c r="K12">
        <v>1240</v>
      </c>
      <c r="L12">
        <v>864</v>
      </c>
      <c r="M12">
        <v>1051</v>
      </c>
      <c r="N12">
        <v>2015</v>
      </c>
      <c r="O12">
        <v>2008</v>
      </c>
      <c r="P12">
        <v>2017</v>
      </c>
      <c r="Q12">
        <v>2071</v>
      </c>
      <c r="R12">
        <v>2030</v>
      </c>
      <c r="S12">
        <v>968</v>
      </c>
      <c r="T12">
        <v>1172</v>
      </c>
      <c r="U12">
        <v>1289</v>
      </c>
      <c r="V12">
        <v>931</v>
      </c>
      <c r="W12">
        <v>786</v>
      </c>
      <c r="X12">
        <v>1299</v>
      </c>
    </row>
    <row r="13" spans="1:24" x14ac:dyDescent="0.3">
      <c r="A13" t="s">
        <v>611</v>
      </c>
      <c r="B13" t="s">
        <v>93</v>
      </c>
      <c r="C13">
        <v>1560</v>
      </c>
      <c r="D13">
        <v>1563</v>
      </c>
      <c r="E13">
        <v>1505</v>
      </c>
      <c r="F13">
        <v>1563</v>
      </c>
      <c r="G13">
        <v>1563</v>
      </c>
      <c r="H13">
        <v>1565</v>
      </c>
      <c r="I13">
        <v>1188</v>
      </c>
      <c r="J13">
        <v>990</v>
      </c>
      <c r="K13">
        <v>1345</v>
      </c>
      <c r="L13">
        <v>969</v>
      </c>
      <c r="M13">
        <v>1156</v>
      </c>
      <c r="N13">
        <v>2156</v>
      </c>
      <c r="O13">
        <v>2149</v>
      </c>
      <c r="P13">
        <v>2158</v>
      </c>
      <c r="Q13">
        <v>2212</v>
      </c>
      <c r="R13">
        <v>2171</v>
      </c>
      <c r="S13">
        <v>1091</v>
      </c>
      <c r="T13">
        <v>1273</v>
      </c>
      <c r="U13">
        <v>1390</v>
      </c>
      <c r="V13">
        <v>1032</v>
      </c>
      <c r="W13">
        <v>843</v>
      </c>
      <c r="X13">
        <v>1399</v>
      </c>
    </row>
    <row r="14" spans="1:24" x14ac:dyDescent="0.3">
      <c r="A14" t="s">
        <v>612</v>
      </c>
      <c r="B14" t="s">
        <v>98</v>
      </c>
      <c r="C14">
        <v>1541</v>
      </c>
      <c r="D14">
        <v>1544</v>
      </c>
      <c r="E14">
        <v>1485</v>
      </c>
      <c r="F14">
        <v>1544</v>
      </c>
      <c r="G14">
        <v>1544</v>
      </c>
      <c r="H14">
        <v>1546</v>
      </c>
      <c r="I14">
        <v>1168</v>
      </c>
      <c r="J14">
        <v>971</v>
      </c>
      <c r="K14">
        <v>1326</v>
      </c>
      <c r="L14">
        <v>950</v>
      </c>
      <c r="M14">
        <v>1137</v>
      </c>
      <c r="N14">
        <v>2137</v>
      </c>
      <c r="O14">
        <v>2129</v>
      </c>
      <c r="P14">
        <v>2139</v>
      </c>
      <c r="Q14">
        <f>P14+54</f>
        <v>2193</v>
      </c>
      <c r="R14">
        <f>Q14-41</f>
        <v>2152</v>
      </c>
      <c r="S14">
        <f>R14-1080</f>
        <v>1072</v>
      </c>
      <c r="T14">
        <f>S14+182</f>
        <v>1254</v>
      </c>
      <c r="U14">
        <f>T14+117</f>
        <v>1371</v>
      </c>
      <c r="V14">
        <f>U14-358</f>
        <v>1013</v>
      </c>
      <c r="W14">
        <f>V14-189</f>
        <v>824</v>
      </c>
      <c r="X14">
        <f>W14+556</f>
        <v>1380</v>
      </c>
    </row>
    <row r="15" spans="1:24" x14ac:dyDescent="0.3">
      <c r="A15" t="s">
        <v>613</v>
      </c>
      <c r="B15" t="s">
        <v>104</v>
      </c>
      <c r="C15">
        <v>1971</v>
      </c>
      <c r="D15">
        <f>C15+3</f>
        <v>1974</v>
      </c>
      <c r="E15">
        <f>D15-58</f>
        <v>1916</v>
      </c>
      <c r="F15">
        <f>D15</f>
        <v>1974</v>
      </c>
      <c r="G15">
        <f>D15</f>
        <v>1974</v>
      </c>
      <c r="H15">
        <f>D15+2</f>
        <v>1976</v>
      </c>
      <c r="I15">
        <v>2358</v>
      </c>
      <c r="J15">
        <v>2644</v>
      </c>
      <c r="K15">
        <v>2604</v>
      </c>
      <c r="L15">
        <v>2657</v>
      </c>
      <c r="M15">
        <v>2592</v>
      </c>
      <c r="N15">
        <v>3960</v>
      </c>
      <c r="O15">
        <v>3953</v>
      </c>
      <c r="P15">
        <v>3963</v>
      </c>
      <c r="Q15">
        <v>4017</v>
      </c>
      <c r="R15">
        <v>3976</v>
      </c>
      <c r="S15">
        <v>2497</v>
      </c>
      <c r="T15">
        <v>2277</v>
      </c>
      <c r="U15">
        <v>2088</v>
      </c>
      <c r="V15">
        <v>2389</v>
      </c>
      <c r="W15">
        <v>2595</v>
      </c>
      <c r="X15">
        <v>2243</v>
      </c>
    </row>
    <row r="16" spans="1:24" x14ac:dyDescent="0.3">
      <c r="A16" t="s">
        <v>614</v>
      </c>
      <c r="B16" t="s">
        <v>726</v>
      </c>
      <c r="C16">
        <v>1601</v>
      </c>
      <c r="D16">
        <v>1666</v>
      </c>
      <c r="E16">
        <v>1710</v>
      </c>
      <c r="F16">
        <v>1666</v>
      </c>
      <c r="G16">
        <v>1666</v>
      </c>
      <c r="H16">
        <v>1627</v>
      </c>
      <c r="I16">
        <v>734</v>
      </c>
      <c r="J16">
        <v>509</v>
      </c>
      <c r="K16">
        <v>667</v>
      </c>
      <c r="L16">
        <v>292</v>
      </c>
      <c r="M16">
        <v>541</v>
      </c>
      <c r="N16">
        <v>1377</v>
      </c>
      <c r="O16">
        <v>1370</v>
      </c>
      <c r="P16">
        <v>1379</v>
      </c>
      <c r="Q16">
        <v>1433</v>
      </c>
      <c r="R16">
        <v>1392</v>
      </c>
      <c r="S16">
        <v>654</v>
      </c>
      <c r="T16">
        <v>764</v>
      </c>
      <c r="U16">
        <v>935</v>
      </c>
      <c r="V16">
        <v>737</v>
      </c>
      <c r="W16">
        <v>816</v>
      </c>
      <c r="X16">
        <v>1040</v>
      </c>
    </row>
    <row r="17" spans="1:24" x14ac:dyDescent="0.3">
      <c r="A17" t="s">
        <v>615</v>
      </c>
      <c r="B17" t="s">
        <v>727</v>
      </c>
      <c r="C17">
        <v>1438</v>
      </c>
      <c r="D17">
        <v>1443</v>
      </c>
      <c r="E17">
        <v>1486</v>
      </c>
      <c r="F17">
        <v>1443</v>
      </c>
      <c r="G17">
        <v>1443</v>
      </c>
      <c r="H17">
        <v>1403</v>
      </c>
      <c r="I17">
        <v>510</v>
      </c>
      <c r="J17">
        <f>I17-225</f>
        <v>285</v>
      </c>
      <c r="K17">
        <f>J17+158</f>
        <v>443</v>
      </c>
      <c r="L17">
        <f>K17-375</f>
        <v>68</v>
      </c>
      <c r="M17">
        <f>L17+249</f>
        <v>317</v>
      </c>
      <c r="N17">
        <f>M17+836</f>
        <v>1153</v>
      </c>
      <c r="O17">
        <f>N17-7</f>
        <v>1146</v>
      </c>
      <c r="P17">
        <f>O17+9</f>
        <v>1155</v>
      </c>
      <c r="Q17">
        <f>P17+54</f>
        <v>1209</v>
      </c>
      <c r="R17">
        <f>Q17-41</f>
        <v>1168</v>
      </c>
      <c r="S17">
        <f>R17-738</f>
        <v>430</v>
      </c>
      <c r="T17">
        <f>S17+110</f>
        <v>540</v>
      </c>
      <c r="U17">
        <f>T17+171</f>
        <v>711</v>
      </c>
      <c r="V17">
        <f>U17-198</f>
        <v>513</v>
      </c>
      <c r="W17">
        <f>V17+79</f>
        <v>592</v>
      </c>
      <c r="X17">
        <f>W17+224</f>
        <v>816</v>
      </c>
    </row>
    <row r="18" spans="1:24" x14ac:dyDescent="0.3">
      <c r="A18" t="s">
        <v>616</v>
      </c>
      <c r="B18" t="s">
        <v>123</v>
      </c>
      <c r="C18">
        <v>1606</v>
      </c>
      <c r="D18">
        <f>C18+5</f>
        <v>1611</v>
      </c>
      <c r="E18">
        <f>D18+43</f>
        <v>1654</v>
      </c>
      <c r="F18">
        <f>D18</f>
        <v>1611</v>
      </c>
      <c r="G18">
        <f>D18</f>
        <v>1611</v>
      </c>
      <c r="H18">
        <f>G18-40</f>
        <v>1571</v>
      </c>
      <c r="I18">
        <f>H18-893</f>
        <v>678</v>
      </c>
      <c r="J18">
        <f>I18-225</f>
        <v>453</v>
      </c>
      <c r="K18">
        <f t="shared" ref="K18:K20" si="0">J18+158</f>
        <v>611</v>
      </c>
      <c r="L18">
        <f t="shared" ref="L18:L20" si="1">K18-375</f>
        <v>236</v>
      </c>
      <c r="M18">
        <f t="shared" ref="M18:M20" si="2">L18+249</f>
        <v>485</v>
      </c>
      <c r="N18">
        <f t="shared" ref="N18:N20" si="3">M18+836</f>
        <v>1321</v>
      </c>
      <c r="O18">
        <f t="shared" ref="O18:O20" si="4">N18-7</f>
        <v>1314</v>
      </c>
      <c r="P18">
        <f t="shared" ref="P18:P20" si="5">O18+9</f>
        <v>1323</v>
      </c>
      <c r="Q18">
        <f t="shared" ref="Q18:Q20" si="6">P18+54</f>
        <v>1377</v>
      </c>
      <c r="R18">
        <f t="shared" ref="R18:R20" si="7">Q18-41</f>
        <v>1336</v>
      </c>
      <c r="S18">
        <f t="shared" ref="S18:S20" si="8">R18-738</f>
        <v>598</v>
      </c>
      <c r="T18">
        <f t="shared" ref="T18:T20" si="9">S18+110</f>
        <v>708</v>
      </c>
      <c r="U18">
        <f t="shared" ref="U18:U20" si="10">T18+171</f>
        <v>879</v>
      </c>
      <c r="V18">
        <f t="shared" ref="V18:V20" si="11">U18-198</f>
        <v>681</v>
      </c>
      <c r="W18">
        <f t="shared" ref="W18:W20" si="12">V18+79</f>
        <v>760</v>
      </c>
      <c r="X18">
        <f t="shared" ref="X18:X20" si="13">W18+224</f>
        <v>984</v>
      </c>
    </row>
    <row r="19" spans="1:24" x14ac:dyDescent="0.3">
      <c r="A19" t="s">
        <v>617</v>
      </c>
      <c r="B19" t="s">
        <v>129</v>
      </c>
      <c r="C19">
        <v>1574</v>
      </c>
      <c r="D19">
        <f t="shared" ref="D19:D20" si="14">C19+5</f>
        <v>1579</v>
      </c>
      <c r="E19">
        <f t="shared" ref="E19:E20" si="15">D19+43</f>
        <v>1622</v>
      </c>
      <c r="F19">
        <f t="shared" ref="F19:F20" si="16">D19</f>
        <v>1579</v>
      </c>
      <c r="G19">
        <f t="shared" ref="G19:G20" si="17">D19</f>
        <v>1579</v>
      </c>
      <c r="H19">
        <f t="shared" ref="H19:H20" si="18">G19-40</f>
        <v>1539</v>
      </c>
      <c r="I19">
        <f t="shared" ref="I19:I20" si="19">H19-893</f>
        <v>646</v>
      </c>
      <c r="J19">
        <f t="shared" ref="J19:J20" si="20">I19-225</f>
        <v>421</v>
      </c>
      <c r="K19">
        <f t="shared" si="0"/>
        <v>579</v>
      </c>
      <c r="L19">
        <f t="shared" si="1"/>
        <v>204</v>
      </c>
      <c r="M19">
        <f t="shared" si="2"/>
        <v>453</v>
      </c>
      <c r="N19">
        <f t="shared" si="3"/>
        <v>1289</v>
      </c>
      <c r="O19">
        <f t="shared" si="4"/>
        <v>1282</v>
      </c>
      <c r="P19">
        <f t="shared" si="5"/>
        <v>1291</v>
      </c>
      <c r="Q19">
        <f t="shared" si="6"/>
        <v>1345</v>
      </c>
      <c r="R19">
        <f t="shared" si="7"/>
        <v>1304</v>
      </c>
      <c r="S19">
        <f t="shared" si="8"/>
        <v>566</v>
      </c>
      <c r="T19">
        <f t="shared" si="9"/>
        <v>676</v>
      </c>
      <c r="U19">
        <f t="shared" si="10"/>
        <v>847</v>
      </c>
      <c r="V19">
        <f t="shared" si="11"/>
        <v>649</v>
      </c>
      <c r="W19">
        <f t="shared" si="12"/>
        <v>728</v>
      </c>
      <c r="X19">
        <f t="shared" si="13"/>
        <v>952</v>
      </c>
    </row>
    <row r="20" spans="1:24" x14ac:dyDescent="0.3">
      <c r="A20" t="s">
        <v>618</v>
      </c>
      <c r="B20" t="s">
        <v>134</v>
      </c>
      <c r="C20">
        <v>1728</v>
      </c>
      <c r="D20">
        <f t="shared" si="14"/>
        <v>1733</v>
      </c>
      <c r="E20">
        <f t="shared" si="15"/>
        <v>1776</v>
      </c>
      <c r="F20">
        <f t="shared" si="16"/>
        <v>1733</v>
      </c>
      <c r="G20">
        <f t="shared" si="17"/>
        <v>1733</v>
      </c>
      <c r="H20">
        <f t="shared" si="18"/>
        <v>1693</v>
      </c>
      <c r="I20">
        <f t="shared" si="19"/>
        <v>800</v>
      </c>
      <c r="J20">
        <f t="shared" si="20"/>
        <v>575</v>
      </c>
      <c r="K20">
        <f t="shared" si="0"/>
        <v>733</v>
      </c>
      <c r="L20">
        <f t="shared" si="1"/>
        <v>358</v>
      </c>
      <c r="M20">
        <f t="shared" si="2"/>
        <v>607</v>
      </c>
      <c r="N20">
        <f t="shared" si="3"/>
        <v>1443</v>
      </c>
      <c r="O20">
        <f t="shared" si="4"/>
        <v>1436</v>
      </c>
      <c r="P20">
        <f t="shared" si="5"/>
        <v>1445</v>
      </c>
      <c r="Q20">
        <f t="shared" si="6"/>
        <v>1499</v>
      </c>
      <c r="R20">
        <f t="shared" si="7"/>
        <v>1458</v>
      </c>
      <c r="S20">
        <f t="shared" si="8"/>
        <v>720</v>
      </c>
      <c r="T20">
        <f t="shared" si="9"/>
        <v>830</v>
      </c>
      <c r="U20">
        <f t="shared" si="10"/>
        <v>1001</v>
      </c>
      <c r="V20">
        <f t="shared" si="11"/>
        <v>803</v>
      </c>
      <c r="W20">
        <f t="shared" si="12"/>
        <v>882</v>
      </c>
      <c r="X20">
        <f t="shared" si="13"/>
        <v>1106</v>
      </c>
    </row>
    <row r="21" spans="1:24" x14ac:dyDescent="0.3">
      <c r="A21" t="s">
        <v>619</v>
      </c>
      <c r="B21" t="s">
        <v>728</v>
      </c>
      <c r="C21">
        <v>2687</v>
      </c>
      <c r="D21">
        <v>2752</v>
      </c>
      <c r="E21">
        <v>2796</v>
      </c>
      <c r="F21">
        <v>2752</v>
      </c>
      <c r="G21">
        <v>2752</v>
      </c>
      <c r="H21">
        <v>2713</v>
      </c>
      <c r="I21">
        <v>1819</v>
      </c>
      <c r="J21">
        <v>1594</v>
      </c>
      <c r="K21">
        <v>1753</v>
      </c>
      <c r="L21">
        <v>1377</v>
      </c>
      <c r="M21">
        <v>1627</v>
      </c>
      <c r="N21">
        <v>1982</v>
      </c>
      <c r="O21">
        <v>1975</v>
      </c>
      <c r="P21">
        <v>1984</v>
      </c>
      <c r="Q21">
        <v>2038</v>
      </c>
      <c r="R21">
        <v>1997</v>
      </c>
      <c r="S21">
        <v>1766</v>
      </c>
      <c r="T21">
        <v>1850</v>
      </c>
      <c r="U21">
        <v>2021</v>
      </c>
      <c r="V21">
        <v>1780</v>
      </c>
      <c r="W21">
        <v>1751</v>
      </c>
      <c r="X21">
        <v>2126</v>
      </c>
    </row>
    <row r="22" spans="1:24" x14ac:dyDescent="0.3">
      <c r="A22" t="s">
        <v>620</v>
      </c>
      <c r="B22" t="s">
        <v>731</v>
      </c>
      <c r="C22">
        <v>2986</v>
      </c>
      <c r="D22">
        <v>3051</v>
      </c>
      <c r="E22">
        <v>3095</v>
      </c>
      <c r="F22">
        <v>3051</v>
      </c>
      <c r="G22">
        <v>3051</v>
      </c>
      <c r="H22">
        <v>3012</v>
      </c>
      <c r="I22">
        <v>2119</v>
      </c>
      <c r="J22">
        <v>1893</v>
      </c>
      <c r="K22">
        <v>1642</v>
      </c>
      <c r="L22">
        <v>1676</v>
      </c>
      <c r="M22">
        <v>1592</v>
      </c>
      <c r="N22">
        <v>484</v>
      </c>
      <c r="O22">
        <v>449</v>
      </c>
      <c r="P22">
        <v>521</v>
      </c>
      <c r="Q22">
        <v>467</v>
      </c>
      <c r="R22">
        <v>548</v>
      </c>
      <c r="S22">
        <v>2039</v>
      </c>
      <c r="T22">
        <v>2149</v>
      </c>
      <c r="U22">
        <v>2320</v>
      </c>
      <c r="V22">
        <v>2127</v>
      </c>
      <c r="W22">
        <v>2206</v>
      </c>
      <c r="X22">
        <v>2425</v>
      </c>
    </row>
    <row r="23" spans="1:24" x14ac:dyDescent="0.3">
      <c r="A23" t="s">
        <v>621</v>
      </c>
      <c r="B23" t="s">
        <v>153</v>
      </c>
      <c r="C23">
        <v>3117</v>
      </c>
      <c r="D23">
        <v>3120</v>
      </c>
      <c r="E23">
        <v>3061</v>
      </c>
      <c r="F23">
        <v>3120</v>
      </c>
      <c r="G23">
        <v>3120</v>
      </c>
      <c r="H23">
        <v>3121</v>
      </c>
      <c r="I23">
        <v>2861</v>
      </c>
      <c r="J23">
        <v>2738</v>
      </c>
      <c r="K23">
        <v>2438</v>
      </c>
      <c r="L23">
        <v>2846</v>
      </c>
      <c r="M23">
        <v>2362</v>
      </c>
      <c r="N23">
        <v>3891</v>
      </c>
      <c r="O23">
        <v>3884</v>
      </c>
      <c r="P23">
        <v>3894</v>
      </c>
      <c r="Q23">
        <v>3947</v>
      </c>
      <c r="R23">
        <v>3906</v>
      </c>
      <c r="S23">
        <v>1978</v>
      </c>
      <c r="T23">
        <v>2883</v>
      </c>
      <c r="U23">
        <v>3000</v>
      </c>
      <c r="V23">
        <v>2642</v>
      </c>
      <c r="W23">
        <v>2453</v>
      </c>
      <c r="X23">
        <v>3010</v>
      </c>
    </row>
    <row r="24" spans="1:24" x14ac:dyDescent="0.3">
      <c r="A24" t="s">
        <v>622</v>
      </c>
      <c r="B24" t="s">
        <v>160</v>
      </c>
      <c r="C24">
        <v>2960</v>
      </c>
      <c r="D24">
        <f>C24+3</f>
        <v>2963</v>
      </c>
      <c r="E24">
        <f>D24-59</f>
        <v>2904</v>
      </c>
      <c r="F24">
        <f>D24</f>
        <v>2963</v>
      </c>
      <c r="G24">
        <f>D24</f>
        <v>2963</v>
      </c>
      <c r="H24">
        <f>G24+1</f>
        <v>2964</v>
      </c>
      <c r="I24">
        <f>H24-260</f>
        <v>2704</v>
      </c>
      <c r="J24">
        <f>I24-123</f>
        <v>2581</v>
      </c>
      <c r="K24">
        <f>J24-300</f>
        <v>2281</v>
      </c>
      <c r="L24">
        <f>K24+408</f>
        <v>2689</v>
      </c>
      <c r="M24">
        <f>L24-484</f>
        <v>2205</v>
      </c>
      <c r="N24">
        <f>M24+1529</f>
        <v>3734</v>
      </c>
      <c r="O24">
        <f>N24-7</f>
        <v>3727</v>
      </c>
      <c r="P24">
        <f>O24+10</f>
        <v>3737</v>
      </c>
      <c r="Q24">
        <f>P24+53</f>
        <v>3790</v>
      </c>
      <c r="R24">
        <f>Q24-41</f>
        <v>3749</v>
      </c>
      <c r="S24">
        <f>R24-1928</f>
        <v>1821</v>
      </c>
      <c r="T24">
        <f>S24+905</f>
        <v>2726</v>
      </c>
      <c r="U24">
        <f>T24+117</f>
        <v>2843</v>
      </c>
      <c r="V24">
        <f>U24-358</f>
        <v>2485</v>
      </c>
      <c r="W24">
        <f>V24-189</f>
        <v>2296</v>
      </c>
      <c r="X24">
        <f>W24+557</f>
        <v>2853</v>
      </c>
    </row>
    <row r="25" spans="1:24" x14ac:dyDescent="0.3">
      <c r="A25" t="s">
        <v>623</v>
      </c>
      <c r="B25" t="s">
        <v>167</v>
      </c>
      <c r="C25">
        <v>2754</v>
      </c>
      <c r="D25">
        <f t="shared" ref="D25:D71" si="21">C25+3</f>
        <v>2757</v>
      </c>
      <c r="E25">
        <f t="shared" ref="E25:E70" si="22">D25-59</f>
        <v>2698</v>
      </c>
      <c r="F25">
        <f t="shared" ref="F25:F71" si="23">D25</f>
        <v>2757</v>
      </c>
      <c r="G25">
        <f t="shared" ref="G25:G71" si="24">D25</f>
        <v>2757</v>
      </c>
      <c r="H25">
        <f t="shared" ref="H25:H71" si="25">G25+1</f>
        <v>2758</v>
      </c>
      <c r="I25">
        <f t="shared" ref="I25:I70" si="26">H25-260</f>
        <v>2498</v>
      </c>
      <c r="J25">
        <f t="shared" ref="J25:J70" si="27">I25-123</f>
        <v>2375</v>
      </c>
      <c r="K25">
        <f t="shared" ref="K25:K70" si="28">J25-300</f>
        <v>2075</v>
      </c>
      <c r="L25">
        <f t="shared" ref="L25:L70" si="29">K25+408</f>
        <v>2483</v>
      </c>
      <c r="M25">
        <f t="shared" ref="M25:M70" si="30">L25-484</f>
        <v>1999</v>
      </c>
      <c r="N25">
        <f t="shared" ref="N25:N70" si="31">M25+1529</f>
        <v>3528</v>
      </c>
      <c r="O25">
        <f t="shared" ref="O25:O70" si="32">N25-7</f>
        <v>3521</v>
      </c>
      <c r="P25">
        <f t="shared" ref="P25:P88" si="33">O25+10</f>
        <v>3531</v>
      </c>
      <c r="Q25">
        <f t="shared" ref="Q25:Q88" si="34">P25+53</f>
        <v>3584</v>
      </c>
      <c r="R25">
        <f t="shared" ref="R25:R88" si="35">Q25-41</f>
        <v>3543</v>
      </c>
      <c r="S25">
        <f t="shared" ref="S25:S70" si="36">R25-1928</f>
        <v>1615</v>
      </c>
      <c r="T25">
        <f t="shared" ref="T25:T70" si="37">S25+905</f>
        <v>2520</v>
      </c>
      <c r="U25">
        <f t="shared" ref="U25:U70" si="38">T25+117</f>
        <v>2637</v>
      </c>
      <c r="V25">
        <f t="shared" ref="V25:V70" si="39">U25-358</f>
        <v>2279</v>
      </c>
      <c r="W25">
        <f t="shared" ref="W25:W70" si="40">V25-189</f>
        <v>2090</v>
      </c>
      <c r="X25">
        <f t="shared" ref="X25:X70" si="41">W25+557</f>
        <v>2647</v>
      </c>
    </row>
    <row r="26" spans="1:24" x14ac:dyDescent="0.3">
      <c r="A26" t="s">
        <v>624</v>
      </c>
      <c r="B26" t="s">
        <v>173</v>
      </c>
      <c r="C26">
        <v>2095</v>
      </c>
      <c r="D26">
        <f t="shared" si="21"/>
        <v>2098</v>
      </c>
      <c r="E26">
        <f t="shared" si="22"/>
        <v>2039</v>
      </c>
      <c r="F26">
        <f t="shared" si="23"/>
        <v>2098</v>
      </c>
      <c r="G26">
        <f t="shared" si="24"/>
        <v>2098</v>
      </c>
      <c r="H26">
        <f t="shared" si="25"/>
        <v>2099</v>
      </c>
      <c r="I26">
        <f t="shared" si="26"/>
        <v>1839</v>
      </c>
      <c r="J26">
        <f t="shared" si="27"/>
        <v>1716</v>
      </c>
      <c r="K26">
        <f t="shared" si="28"/>
        <v>1416</v>
      </c>
      <c r="L26">
        <f t="shared" si="29"/>
        <v>1824</v>
      </c>
      <c r="M26">
        <f t="shared" si="30"/>
        <v>1340</v>
      </c>
      <c r="N26">
        <f t="shared" si="31"/>
        <v>2869</v>
      </c>
      <c r="O26">
        <f t="shared" si="32"/>
        <v>2862</v>
      </c>
      <c r="P26">
        <f t="shared" si="33"/>
        <v>2872</v>
      </c>
      <c r="Q26">
        <f t="shared" si="34"/>
        <v>2925</v>
      </c>
      <c r="R26">
        <f t="shared" si="35"/>
        <v>2884</v>
      </c>
      <c r="S26">
        <f t="shared" si="36"/>
        <v>956</v>
      </c>
      <c r="T26">
        <f t="shared" si="37"/>
        <v>1861</v>
      </c>
      <c r="U26">
        <f t="shared" si="38"/>
        <v>1978</v>
      </c>
      <c r="V26">
        <f t="shared" si="39"/>
        <v>1620</v>
      </c>
      <c r="W26">
        <f t="shared" si="40"/>
        <v>1431</v>
      </c>
      <c r="X26">
        <f t="shared" si="41"/>
        <v>1988</v>
      </c>
    </row>
    <row r="27" spans="1:24" x14ac:dyDescent="0.3">
      <c r="A27" t="s">
        <v>625</v>
      </c>
      <c r="B27" t="s">
        <v>178</v>
      </c>
      <c r="C27">
        <v>3165</v>
      </c>
      <c r="D27">
        <f t="shared" si="21"/>
        <v>3168</v>
      </c>
      <c r="E27">
        <f t="shared" si="22"/>
        <v>3109</v>
      </c>
      <c r="F27">
        <f t="shared" si="23"/>
        <v>3168</v>
      </c>
      <c r="G27">
        <f t="shared" si="24"/>
        <v>3168</v>
      </c>
      <c r="H27">
        <f t="shared" si="25"/>
        <v>3169</v>
      </c>
      <c r="I27">
        <f t="shared" si="26"/>
        <v>2909</v>
      </c>
      <c r="J27">
        <f t="shared" si="27"/>
        <v>2786</v>
      </c>
      <c r="K27">
        <f t="shared" si="28"/>
        <v>2486</v>
      </c>
      <c r="L27">
        <f t="shared" si="29"/>
        <v>2894</v>
      </c>
      <c r="M27">
        <f t="shared" si="30"/>
        <v>2410</v>
      </c>
      <c r="N27">
        <f t="shared" si="31"/>
        <v>3939</v>
      </c>
      <c r="O27">
        <f t="shared" si="32"/>
        <v>3932</v>
      </c>
      <c r="P27">
        <f t="shared" si="33"/>
        <v>3942</v>
      </c>
      <c r="Q27">
        <f t="shared" si="34"/>
        <v>3995</v>
      </c>
      <c r="R27">
        <f t="shared" si="35"/>
        <v>3954</v>
      </c>
      <c r="S27">
        <f t="shared" si="36"/>
        <v>2026</v>
      </c>
      <c r="T27">
        <f t="shared" si="37"/>
        <v>2931</v>
      </c>
      <c r="U27">
        <f t="shared" si="38"/>
        <v>3048</v>
      </c>
      <c r="V27">
        <f t="shared" si="39"/>
        <v>2690</v>
      </c>
      <c r="W27">
        <f t="shared" si="40"/>
        <v>2501</v>
      </c>
      <c r="X27">
        <f t="shared" si="41"/>
        <v>3058</v>
      </c>
    </row>
    <row r="28" spans="1:24" x14ac:dyDescent="0.3">
      <c r="A28" t="s">
        <v>626</v>
      </c>
      <c r="B28" t="s">
        <v>185</v>
      </c>
      <c r="C28">
        <v>2118</v>
      </c>
      <c r="D28">
        <f t="shared" si="21"/>
        <v>2121</v>
      </c>
      <c r="E28">
        <f t="shared" si="22"/>
        <v>2062</v>
      </c>
      <c r="F28">
        <f t="shared" si="23"/>
        <v>2121</v>
      </c>
      <c r="G28">
        <f t="shared" si="24"/>
        <v>2121</v>
      </c>
      <c r="H28">
        <f t="shared" si="25"/>
        <v>2122</v>
      </c>
      <c r="I28">
        <f t="shared" si="26"/>
        <v>1862</v>
      </c>
      <c r="J28">
        <f t="shared" si="27"/>
        <v>1739</v>
      </c>
      <c r="K28">
        <f t="shared" si="28"/>
        <v>1439</v>
      </c>
      <c r="L28">
        <f t="shared" si="29"/>
        <v>1847</v>
      </c>
      <c r="M28">
        <f t="shared" si="30"/>
        <v>1363</v>
      </c>
      <c r="N28">
        <f t="shared" si="31"/>
        <v>2892</v>
      </c>
      <c r="O28">
        <f t="shared" si="32"/>
        <v>2885</v>
      </c>
      <c r="P28">
        <f t="shared" si="33"/>
        <v>2895</v>
      </c>
      <c r="Q28">
        <f t="shared" si="34"/>
        <v>2948</v>
      </c>
      <c r="R28">
        <f t="shared" si="35"/>
        <v>2907</v>
      </c>
      <c r="S28">
        <f t="shared" si="36"/>
        <v>979</v>
      </c>
      <c r="T28">
        <f t="shared" si="37"/>
        <v>1884</v>
      </c>
      <c r="U28">
        <f t="shared" si="38"/>
        <v>2001</v>
      </c>
      <c r="V28">
        <f t="shared" si="39"/>
        <v>1643</v>
      </c>
      <c r="W28">
        <f t="shared" si="40"/>
        <v>1454</v>
      </c>
      <c r="X28">
        <f t="shared" si="41"/>
        <v>2011</v>
      </c>
    </row>
    <row r="29" spans="1:24" x14ac:dyDescent="0.3">
      <c r="A29" t="s">
        <v>627</v>
      </c>
      <c r="B29" t="s">
        <v>192</v>
      </c>
      <c r="C29">
        <v>3094</v>
      </c>
      <c r="D29">
        <f t="shared" si="21"/>
        <v>3097</v>
      </c>
      <c r="E29">
        <f t="shared" si="22"/>
        <v>3038</v>
      </c>
      <c r="F29">
        <f t="shared" si="23"/>
        <v>3097</v>
      </c>
      <c r="G29">
        <f t="shared" si="24"/>
        <v>3097</v>
      </c>
      <c r="H29">
        <f t="shared" si="25"/>
        <v>3098</v>
      </c>
      <c r="I29">
        <f t="shared" si="26"/>
        <v>2838</v>
      </c>
      <c r="J29">
        <f t="shared" si="27"/>
        <v>2715</v>
      </c>
      <c r="K29">
        <f t="shared" si="28"/>
        <v>2415</v>
      </c>
      <c r="L29">
        <f t="shared" si="29"/>
        <v>2823</v>
      </c>
      <c r="M29">
        <f t="shared" si="30"/>
        <v>2339</v>
      </c>
      <c r="N29">
        <f t="shared" si="31"/>
        <v>3868</v>
      </c>
      <c r="O29">
        <f t="shared" si="32"/>
        <v>3861</v>
      </c>
      <c r="P29">
        <f t="shared" si="33"/>
        <v>3871</v>
      </c>
      <c r="Q29">
        <f t="shared" si="34"/>
        <v>3924</v>
      </c>
      <c r="R29">
        <f t="shared" si="35"/>
        <v>3883</v>
      </c>
      <c r="S29">
        <f t="shared" si="36"/>
        <v>1955</v>
      </c>
      <c r="T29">
        <f t="shared" si="37"/>
        <v>2860</v>
      </c>
      <c r="U29">
        <f t="shared" si="38"/>
        <v>2977</v>
      </c>
      <c r="V29">
        <f t="shared" si="39"/>
        <v>2619</v>
      </c>
      <c r="W29">
        <f t="shared" si="40"/>
        <v>2430</v>
      </c>
      <c r="X29">
        <f t="shared" si="41"/>
        <v>2987</v>
      </c>
    </row>
    <row r="30" spans="1:24" x14ac:dyDescent="0.3">
      <c r="A30" t="s">
        <v>628</v>
      </c>
      <c r="B30" t="s">
        <v>197</v>
      </c>
      <c r="C30">
        <v>2564</v>
      </c>
      <c r="D30">
        <f t="shared" si="21"/>
        <v>2567</v>
      </c>
      <c r="E30">
        <f t="shared" si="22"/>
        <v>2508</v>
      </c>
      <c r="F30">
        <f t="shared" si="23"/>
        <v>2567</v>
      </c>
      <c r="G30">
        <f t="shared" si="24"/>
        <v>2567</v>
      </c>
      <c r="H30">
        <f t="shared" si="25"/>
        <v>2568</v>
      </c>
      <c r="I30">
        <f t="shared" si="26"/>
        <v>2308</v>
      </c>
      <c r="J30">
        <f t="shared" si="27"/>
        <v>2185</v>
      </c>
      <c r="K30">
        <f t="shared" si="28"/>
        <v>1885</v>
      </c>
      <c r="L30">
        <f t="shared" si="29"/>
        <v>2293</v>
      </c>
      <c r="M30">
        <f t="shared" si="30"/>
        <v>1809</v>
      </c>
      <c r="N30">
        <f t="shared" si="31"/>
        <v>3338</v>
      </c>
      <c r="O30">
        <f t="shared" si="32"/>
        <v>3331</v>
      </c>
      <c r="P30">
        <f t="shared" si="33"/>
        <v>3341</v>
      </c>
      <c r="Q30">
        <f t="shared" si="34"/>
        <v>3394</v>
      </c>
      <c r="R30">
        <f t="shared" si="35"/>
        <v>3353</v>
      </c>
      <c r="S30">
        <f t="shared" si="36"/>
        <v>1425</v>
      </c>
      <c r="T30">
        <f t="shared" si="37"/>
        <v>2330</v>
      </c>
      <c r="U30">
        <f t="shared" si="38"/>
        <v>2447</v>
      </c>
      <c r="V30">
        <f t="shared" si="39"/>
        <v>2089</v>
      </c>
      <c r="W30">
        <f t="shared" si="40"/>
        <v>1900</v>
      </c>
      <c r="X30">
        <f t="shared" si="41"/>
        <v>2457</v>
      </c>
    </row>
    <row r="31" spans="1:24" x14ac:dyDescent="0.3">
      <c r="A31" t="s">
        <v>629</v>
      </c>
      <c r="B31" t="s">
        <v>203</v>
      </c>
      <c r="C31">
        <v>2721</v>
      </c>
      <c r="D31">
        <f t="shared" si="21"/>
        <v>2724</v>
      </c>
      <c r="E31">
        <f t="shared" si="22"/>
        <v>2665</v>
      </c>
      <c r="F31">
        <f t="shared" si="23"/>
        <v>2724</v>
      </c>
      <c r="G31">
        <f t="shared" si="24"/>
        <v>2724</v>
      </c>
      <c r="H31">
        <f t="shared" si="25"/>
        <v>2725</v>
      </c>
      <c r="I31">
        <f t="shared" si="26"/>
        <v>2465</v>
      </c>
      <c r="J31">
        <f t="shared" si="27"/>
        <v>2342</v>
      </c>
      <c r="K31">
        <f t="shared" si="28"/>
        <v>2042</v>
      </c>
      <c r="L31">
        <f t="shared" si="29"/>
        <v>2450</v>
      </c>
      <c r="M31">
        <f t="shared" si="30"/>
        <v>1966</v>
      </c>
      <c r="N31">
        <f t="shared" si="31"/>
        <v>3495</v>
      </c>
      <c r="O31">
        <f t="shared" si="32"/>
        <v>3488</v>
      </c>
      <c r="P31">
        <f t="shared" si="33"/>
        <v>3498</v>
      </c>
      <c r="Q31">
        <f t="shared" si="34"/>
        <v>3551</v>
      </c>
      <c r="R31">
        <f t="shared" si="35"/>
        <v>3510</v>
      </c>
      <c r="S31">
        <f t="shared" si="36"/>
        <v>1582</v>
      </c>
      <c r="T31">
        <f t="shared" si="37"/>
        <v>2487</v>
      </c>
      <c r="U31">
        <f t="shared" si="38"/>
        <v>2604</v>
      </c>
      <c r="V31">
        <f t="shared" si="39"/>
        <v>2246</v>
      </c>
      <c r="W31">
        <f t="shared" si="40"/>
        <v>2057</v>
      </c>
      <c r="X31">
        <f t="shared" si="41"/>
        <v>2614</v>
      </c>
    </row>
    <row r="32" spans="1:24" x14ac:dyDescent="0.3">
      <c r="A32" t="s">
        <v>630</v>
      </c>
      <c r="B32" t="s">
        <v>733</v>
      </c>
      <c r="C32">
        <v>2955</v>
      </c>
      <c r="D32">
        <f t="shared" si="21"/>
        <v>2958</v>
      </c>
      <c r="E32">
        <f t="shared" si="22"/>
        <v>2899</v>
      </c>
      <c r="F32">
        <f t="shared" si="23"/>
        <v>2958</v>
      </c>
      <c r="G32">
        <f t="shared" si="24"/>
        <v>2958</v>
      </c>
      <c r="H32">
        <f t="shared" si="25"/>
        <v>2959</v>
      </c>
      <c r="I32">
        <f t="shared" si="26"/>
        <v>2699</v>
      </c>
      <c r="J32">
        <f t="shared" si="27"/>
        <v>2576</v>
      </c>
      <c r="K32">
        <f t="shared" si="28"/>
        <v>2276</v>
      </c>
      <c r="L32">
        <f t="shared" si="29"/>
        <v>2684</v>
      </c>
      <c r="M32">
        <f t="shared" si="30"/>
        <v>2200</v>
      </c>
      <c r="N32">
        <f t="shared" si="31"/>
        <v>3729</v>
      </c>
      <c r="O32">
        <f t="shared" si="32"/>
        <v>3722</v>
      </c>
      <c r="P32">
        <f t="shared" si="33"/>
        <v>3732</v>
      </c>
      <c r="Q32">
        <f t="shared" si="34"/>
        <v>3785</v>
      </c>
      <c r="R32">
        <f t="shared" si="35"/>
        <v>3744</v>
      </c>
      <c r="S32">
        <f t="shared" si="36"/>
        <v>1816</v>
      </c>
      <c r="T32">
        <f t="shared" si="37"/>
        <v>2721</v>
      </c>
      <c r="U32">
        <f t="shared" si="38"/>
        <v>2838</v>
      </c>
      <c r="V32">
        <f t="shared" si="39"/>
        <v>2480</v>
      </c>
      <c r="W32">
        <f t="shared" si="40"/>
        <v>2291</v>
      </c>
      <c r="X32">
        <f t="shared" si="41"/>
        <v>2848</v>
      </c>
    </row>
    <row r="33" spans="1:24" x14ac:dyDescent="0.3">
      <c r="A33" t="s">
        <v>631</v>
      </c>
      <c r="B33" t="s">
        <v>215</v>
      </c>
      <c r="C33">
        <v>2852</v>
      </c>
      <c r="D33">
        <f t="shared" si="21"/>
        <v>2855</v>
      </c>
      <c r="E33">
        <f t="shared" si="22"/>
        <v>2796</v>
      </c>
      <c r="F33">
        <f t="shared" si="23"/>
        <v>2855</v>
      </c>
      <c r="G33">
        <f t="shared" si="24"/>
        <v>2855</v>
      </c>
      <c r="H33">
        <f t="shared" si="25"/>
        <v>2856</v>
      </c>
      <c r="I33">
        <f t="shared" si="26"/>
        <v>2596</v>
      </c>
      <c r="J33">
        <f t="shared" si="27"/>
        <v>2473</v>
      </c>
      <c r="K33">
        <f t="shared" si="28"/>
        <v>2173</v>
      </c>
      <c r="L33">
        <f t="shared" si="29"/>
        <v>2581</v>
      </c>
      <c r="M33">
        <f t="shared" si="30"/>
        <v>2097</v>
      </c>
      <c r="N33">
        <f t="shared" si="31"/>
        <v>3626</v>
      </c>
      <c r="O33">
        <f t="shared" si="32"/>
        <v>3619</v>
      </c>
      <c r="P33">
        <f t="shared" si="33"/>
        <v>3629</v>
      </c>
      <c r="Q33">
        <f t="shared" si="34"/>
        <v>3682</v>
      </c>
      <c r="R33">
        <f t="shared" si="35"/>
        <v>3641</v>
      </c>
      <c r="S33">
        <f t="shared" si="36"/>
        <v>1713</v>
      </c>
      <c r="T33">
        <f t="shared" si="37"/>
        <v>2618</v>
      </c>
      <c r="U33">
        <f t="shared" si="38"/>
        <v>2735</v>
      </c>
      <c r="V33">
        <f t="shared" si="39"/>
        <v>2377</v>
      </c>
      <c r="W33">
        <f t="shared" si="40"/>
        <v>2188</v>
      </c>
      <c r="X33">
        <f t="shared" si="41"/>
        <v>2745</v>
      </c>
    </row>
    <row r="34" spans="1:24" x14ac:dyDescent="0.3">
      <c r="A34" t="s">
        <v>632</v>
      </c>
      <c r="B34" t="s">
        <v>222</v>
      </c>
      <c r="C34">
        <v>3074</v>
      </c>
      <c r="D34">
        <f t="shared" si="21"/>
        <v>3077</v>
      </c>
      <c r="E34">
        <f t="shared" si="22"/>
        <v>3018</v>
      </c>
      <c r="F34">
        <f t="shared" si="23"/>
        <v>3077</v>
      </c>
      <c r="G34">
        <f t="shared" si="24"/>
        <v>3077</v>
      </c>
      <c r="H34">
        <f t="shared" si="25"/>
        <v>3078</v>
      </c>
      <c r="I34">
        <f t="shared" si="26"/>
        <v>2818</v>
      </c>
      <c r="J34">
        <f t="shared" si="27"/>
        <v>2695</v>
      </c>
      <c r="K34">
        <f t="shared" si="28"/>
        <v>2395</v>
      </c>
      <c r="L34">
        <f t="shared" si="29"/>
        <v>2803</v>
      </c>
      <c r="M34">
        <f t="shared" si="30"/>
        <v>2319</v>
      </c>
      <c r="N34">
        <f t="shared" si="31"/>
        <v>3848</v>
      </c>
      <c r="O34">
        <f t="shared" si="32"/>
        <v>3841</v>
      </c>
      <c r="P34">
        <f t="shared" si="33"/>
        <v>3851</v>
      </c>
      <c r="Q34">
        <f t="shared" si="34"/>
        <v>3904</v>
      </c>
      <c r="R34">
        <f t="shared" si="35"/>
        <v>3863</v>
      </c>
      <c r="S34">
        <f t="shared" si="36"/>
        <v>1935</v>
      </c>
      <c r="T34">
        <f t="shared" si="37"/>
        <v>2840</v>
      </c>
      <c r="U34">
        <f t="shared" si="38"/>
        <v>2957</v>
      </c>
      <c r="V34">
        <f t="shared" si="39"/>
        <v>2599</v>
      </c>
      <c r="W34">
        <f t="shared" si="40"/>
        <v>2410</v>
      </c>
      <c r="X34">
        <f t="shared" si="41"/>
        <v>2967</v>
      </c>
    </row>
    <row r="35" spans="1:24" x14ac:dyDescent="0.3">
      <c r="A35" t="s">
        <v>633</v>
      </c>
      <c r="B35" t="s">
        <v>228</v>
      </c>
      <c r="C35">
        <v>3180</v>
      </c>
      <c r="D35">
        <f t="shared" si="21"/>
        <v>3183</v>
      </c>
      <c r="E35">
        <f t="shared" si="22"/>
        <v>3124</v>
      </c>
      <c r="F35">
        <f t="shared" si="23"/>
        <v>3183</v>
      </c>
      <c r="G35">
        <f t="shared" si="24"/>
        <v>3183</v>
      </c>
      <c r="H35">
        <f t="shared" si="25"/>
        <v>3184</v>
      </c>
      <c r="I35">
        <f t="shared" si="26"/>
        <v>2924</v>
      </c>
      <c r="J35">
        <f t="shared" si="27"/>
        <v>2801</v>
      </c>
      <c r="K35">
        <f t="shared" si="28"/>
        <v>2501</v>
      </c>
      <c r="L35">
        <f t="shared" si="29"/>
        <v>2909</v>
      </c>
      <c r="M35">
        <f t="shared" si="30"/>
        <v>2425</v>
      </c>
      <c r="N35">
        <f t="shared" si="31"/>
        <v>3954</v>
      </c>
      <c r="O35">
        <f t="shared" si="32"/>
        <v>3947</v>
      </c>
      <c r="P35">
        <f t="shared" si="33"/>
        <v>3957</v>
      </c>
      <c r="Q35">
        <f t="shared" si="34"/>
        <v>4010</v>
      </c>
      <c r="R35">
        <f t="shared" si="35"/>
        <v>3969</v>
      </c>
      <c r="S35">
        <f t="shared" si="36"/>
        <v>2041</v>
      </c>
      <c r="T35">
        <f t="shared" si="37"/>
        <v>2946</v>
      </c>
      <c r="U35">
        <f t="shared" si="38"/>
        <v>3063</v>
      </c>
      <c r="V35">
        <f t="shared" si="39"/>
        <v>2705</v>
      </c>
      <c r="W35">
        <f t="shared" si="40"/>
        <v>2516</v>
      </c>
      <c r="X35">
        <f t="shared" si="41"/>
        <v>3073</v>
      </c>
    </row>
    <row r="36" spans="1:24" x14ac:dyDescent="0.3">
      <c r="A36" t="s">
        <v>634</v>
      </c>
      <c r="B36" t="s">
        <v>233</v>
      </c>
      <c r="C36">
        <v>2866</v>
      </c>
      <c r="D36">
        <f t="shared" si="21"/>
        <v>2869</v>
      </c>
      <c r="E36">
        <f t="shared" si="22"/>
        <v>2810</v>
      </c>
      <c r="F36">
        <f t="shared" si="23"/>
        <v>2869</v>
      </c>
      <c r="G36">
        <f t="shared" si="24"/>
        <v>2869</v>
      </c>
      <c r="H36">
        <f t="shared" si="25"/>
        <v>2870</v>
      </c>
      <c r="I36">
        <f t="shared" si="26"/>
        <v>2610</v>
      </c>
      <c r="J36">
        <f t="shared" si="27"/>
        <v>2487</v>
      </c>
      <c r="K36">
        <f t="shared" si="28"/>
        <v>2187</v>
      </c>
      <c r="L36">
        <f t="shared" si="29"/>
        <v>2595</v>
      </c>
      <c r="M36">
        <f t="shared" si="30"/>
        <v>2111</v>
      </c>
      <c r="N36">
        <f t="shared" si="31"/>
        <v>3640</v>
      </c>
      <c r="O36">
        <f t="shared" si="32"/>
        <v>3633</v>
      </c>
      <c r="P36">
        <f t="shared" si="33"/>
        <v>3643</v>
      </c>
      <c r="Q36">
        <f t="shared" si="34"/>
        <v>3696</v>
      </c>
      <c r="R36">
        <f t="shared" si="35"/>
        <v>3655</v>
      </c>
      <c r="S36">
        <f t="shared" si="36"/>
        <v>1727</v>
      </c>
      <c r="T36">
        <f t="shared" si="37"/>
        <v>2632</v>
      </c>
      <c r="U36">
        <f t="shared" si="38"/>
        <v>2749</v>
      </c>
      <c r="V36">
        <f t="shared" si="39"/>
        <v>2391</v>
      </c>
      <c r="W36">
        <f t="shared" si="40"/>
        <v>2202</v>
      </c>
      <c r="X36">
        <f t="shared" si="41"/>
        <v>2759</v>
      </c>
    </row>
    <row r="37" spans="1:24" x14ac:dyDescent="0.3">
      <c r="A37" t="s">
        <v>635</v>
      </c>
      <c r="B37" t="s">
        <v>734</v>
      </c>
      <c r="C37">
        <v>2721</v>
      </c>
      <c r="D37">
        <f t="shared" si="21"/>
        <v>2724</v>
      </c>
      <c r="E37">
        <f t="shared" si="22"/>
        <v>2665</v>
      </c>
      <c r="F37">
        <f t="shared" si="23"/>
        <v>2724</v>
      </c>
      <c r="G37">
        <f t="shared" si="24"/>
        <v>2724</v>
      </c>
      <c r="H37">
        <f t="shared" si="25"/>
        <v>2725</v>
      </c>
      <c r="I37">
        <f t="shared" si="26"/>
        <v>2465</v>
      </c>
      <c r="J37">
        <f t="shared" si="27"/>
        <v>2342</v>
      </c>
      <c r="K37">
        <f t="shared" si="28"/>
        <v>2042</v>
      </c>
      <c r="L37">
        <f t="shared" si="29"/>
        <v>2450</v>
      </c>
      <c r="M37">
        <f t="shared" si="30"/>
        <v>1966</v>
      </c>
      <c r="N37">
        <f t="shared" si="31"/>
        <v>3495</v>
      </c>
      <c r="O37">
        <f t="shared" si="32"/>
        <v>3488</v>
      </c>
      <c r="P37">
        <f t="shared" si="33"/>
        <v>3498</v>
      </c>
      <c r="Q37">
        <f t="shared" si="34"/>
        <v>3551</v>
      </c>
      <c r="R37">
        <f t="shared" si="35"/>
        <v>3510</v>
      </c>
      <c r="S37">
        <f t="shared" si="36"/>
        <v>1582</v>
      </c>
      <c r="T37">
        <f t="shared" si="37"/>
        <v>2487</v>
      </c>
      <c r="U37">
        <f t="shared" si="38"/>
        <v>2604</v>
      </c>
      <c r="V37">
        <f t="shared" si="39"/>
        <v>2246</v>
      </c>
      <c r="W37">
        <f t="shared" si="40"/>
        <v>2057</v>
      </c>
      <c r="X37">
        <f t="shared" si="41"/>
        <v>2614</v>
      </c>
    </row>
    <row r="38" spans="1:24" x14ac:dyDescent="0.3">
      <c r="A38" t="s">
        <v>636</v>
      </c>
      <c r="B38" t="s">
        <v>245</v>
      </c>
      <c r="C38">
        <v>2757</v>
      </c>
      <c r="D38">
        <f t="shared" si="21"/>
        <v>2760</v>
      </c>
      <c r="E38">
        <f t="shared" si="22"/>
        <v>2701</v>
      </c>
      <c r="F38">
        <f t="shared" si="23"/>
        <v>2760</v>
      </c>
      <c r="G38">
        <f t="shared" si="24"/>
        <v>2760</v>
      </c>
      <c r="H38">
        <f t="shared" si="25"/>
        <v>2761</v>
      </c>
      <c r="I38">
        <f t="shared" si="26"/>
        <v>2501</v>
      </c>
      <c r="J38">
        <f t="shared" si="27"/>
        <v>2378</v>
      </c>
      <c r="K38">
        <f t="shared" si="28"/>
        <v>2078</v>
      </c>
      <c r="L38">
        <f t="shared" si="29"/>
        <v>2486</v>
      </c>
      <c r="M38">
        <f t="shared" si="30"/>
        <v>2002</v>
      </c>
      <c r="N38">
        <f t="shared" si="31"/>
        <v>3531</v>
      </c>
      <c r="O38">
        <f t="shared" si="32"/>
        <v>3524</v>
      </c>
      <c r="P38">
        <f t="shared" si="33"/>
        <v>3534</v>
      </c>
      <c r="Q38">
        <f t="shared" si="34"/>
        <v>3587</v>
      </c>
      <c r="R38">
        <f t="shared" si="35"/>
        <v>3546</v>
      </c>
      <c r="S38">
        <f t="shared" si="36"/>
        <v>1618</v>
      </c>
      <c r="T38">
        <f t="shared" si="37"/>
        <v>2523</v>
      </c>
      <c r="U38">
        <f t="shared" si="38"/>
        <v>2640</v>
      </c>
      <c r="V38">
        <f t="shared" si="39"/>
        <v>2282</v>
      </c>
      <c r="W38">
        <f t="shared" si="40"/>
        <v>2093</v>
      </c>
      <c r="X38">
        <f t="shared" si="41"/>
        <v>2650</v>
      </c>
    </row>
    <row r="39" spans="1:24" x14ac:dyDescent="0.3">
      <c r="A39" t="s">
        <v>637</v>
      </c>
      <c r="B39" t="s">
        <v>251</v>
      </c>
      <c r="C39">
        <v>2616</v>
      </c>
      <c r="D39">
        <f t="shared" si="21"/>
        <v>2619</v>
      </c>
      <c r="E39">
        <f t="shared" si="22"/>
        <v>2560</v>
      </c>
      <c r="F39">
        <f t="shared" si="23"/>
        <v>2619</v>
      </c>
      <c r="G39">
        <f t="shared" si="24"/>
        <v>2619</v>
      </c>
      <c r="H39">
        <f t="shared" si="25"/>
        <v>2620</v>
      </c>
      <c r="I39">
        <f t="shared" si="26"/>
        <v>2360</v>
      </c>
      <c r="J39">
        <f t="shared" si="27"/>
        <v>2237</v>
      </c>
      <c r="K39">
        <f t="shared" si="28"/>
        <v>1937</v>
      </c>
      <c r="L39">
        <f t="shared" si="29"/>
        <v>2345</v>
      </c>
      <c r="M39">
        <f t="shared" si="30"/>
        <v>1861</v>
      </c>
      <c r="N39">
        <f t="shared" si="31"/>
        <v>3390</v>
      </c>
      <c r="O39">
        <f t="shared" si="32"/>
        <v>3383</v>
      </c>
      <c r="P39">
        <f t="shared" si="33"/>
        <v>3393</v>
      </c>
      <c r="Q39">
        <f t="shared" si="34"/>
        <v>3446</v>
      </c>
      <c r="R39">
        <f t="shared" si="35"/>
        <v>3405</v>
      </c>
      <c r="S39">
        <f t="shared" si="36"/>
        <v>1477</v>
      </c>
      <c r="T39">
        <f t="shared" si="37"/>
        <v>2382</v>
      </c>
      <c r="U39">
        <f t="shared" si="38"/>
        <v>2499</v>
      </c>
      <c r="V39">
        <f t="shared" si="39"/>
        <v>2141</v>
      </c>
      <c r="W39">
        <f t="shared" si="40"/>
        <v>1952</v>
      </c>
      <c r="X39">
        <f t="shared" si="41"/>
        <v>2509</v>
      </c>
    </row>
    <row r="40" spans="1:24" x14ac:dyDescent="0.3">
      <c r="A40" t="s">
        <v>638</v>
      </c>
      <c r="B40" t="s">
        <v>257</v>
      </c>
      <c r="C40">
        <v>2300</v>
      </c>
      <c r="D40">
        <f t="shared" si="21"/>
        <v>2303</v>
      </c>
      <c r="E40">
        <f t="shared" si="22"/>
        <v>2244</v>
      </c>
      <c r="F40">
        <f t="shared" si="23"/>
        <v>2303</v>
      </c>
      <c r="G40">
        <f t="shared" si="24"/>
        <v>2303</v>
      </c>
      <c r="H40">
        <f t="shared" si="25"/>
        <v>2304</v>
      </c>
      <c r="I40">
        <f t="shared" si="26"/>
        <v>2044</v>
      </c>
      <c r="J40">
        <f t="shared" si="27"/>
        <v>1921</v>
      </c>
      <c r="K40">
        <f t="shared" si="28"/>
        <v>1621</v>
      </c>
      <c r="L40">
        <f t="shared" si="29"/>
        <v>2029</v>
      </c>
      <c r="M40">
        <f t="shared" si="30"/>
        <v>1545</v>
      </c>
      <c r="N40">
        <f t="shared" si="31"/>
        <v>3074</v>
      </c>
      <c r="O40">
        <f t="shared" si="32"/>
        <v>3067</v>
      </c>
      <c r="P40">
        <f t="shared" si="33"/>
        <v>3077</v>
      </c>
      <c r="Q40">
        <f t="shared" si="34"/>
        <v>3130</v>
      </c>
      <c r="R40">
        <f t="shared" si="35"/>
        <v>3089</v>
      </c>
      <c r="S40">
        <f t="shared" si="36"/>
        <v>1161</v>
      </c>
      <c r="T40">
        <f t="shared" si="37"/>
        <v>2066</v>
      </c>
      <c r="U40">
        <f t="shared" si="38"/>
        <v>2183</v>
      </c>
      <c r="V40">
        <f t="shared" si="39"/>
        <v>1825</v>
      </c>
      <c r="W40">
        <f t="shared" si="40"/>
        <v>1636</v>
      </c>
      <c r="X40">
        <f t="shared" si="41"/>
        <v>2193</v>
      </c>
    </row>
    <row r="41" spans="1:24" x14ac:dyDescent="0.3">
      <c r="A41" t="s">
        <v>639</v>
      </c>
      <c r="B41" t="s">
        <v>262</v>
      </c>
      <c r="C41">
        <v>2762</v>
      </c>
      <c r="D41">
        <f t="shared" si="21"/>
        <v>2765</v>
      </c>
      <c r="E41">
        <f t="shared" si="22"/>
        <v>2706</v>
      </c>
      <c r="F41">
        <f t="shared" si="23"/>
        <v>2765</v>
      </c>
      <c r="G41">
        <f t="shared" si="24"/>
        <v>2765</v>
      </c>
      <c r="H41">
        <f t="shared" si="25"/>
        <v>2766</v>
      </c>
      <c r="I41">
        <f t="shared" si="26"/>
        <v>2506</v>
      </c>
      <c r="J41">
        <f t="shared" si="27"/>
        <v>2383</v>
      </c>
      <c r="K41">
        <f t="shared" si="28"/>
        <v>2083</v>
      </c>
      <c r="L41">
        <f t="shared" si="29"/>
        <v>2491</v>
      </c>
      <c r="M41">
        <f t="shared" si="30"/>
        <v>2007</v>
      </c>
      <c r="N41">
        <f t="shared" si="31"/>
        <v>3536</v>
      </c>
      <c r="O41">
        <f t="shared" si="32"/>
        <v>3529</v>
      </c>
      <c r="P41">
        <f t="shared" si="33"/>
        <v>3539</v>
      </c>
      <c r="Q41">
        <f t="shared" si="34"/>
        <v>3592</v>
      </c>
      <c r="R41">
        <f t="shared" si="35"/>
        <v>3551</v>
      </c>
      <c r="S41">
        <f t="shared" si="36"/>
        <v>1623</v>
      </c>
      <c r="T41">
        <f t="shared" si="37"/>
        <v>2528</v>
      </c>
      <c r="U41">
        <f t="shared" si="38"/>
        <v>2645</v>
      </c>
      <c r="V41">
        <f t="shared" si="39"/>
        <v>2287</v>
      </c>
      <c r="W41">
        <f t="shared" si="40"/>
        <v>2098</v>
      </c>
      <c r="X41">
        <f t="shared" si="41"/>
        <v>2655</v>
      </c>
    </row>
    <row r="42" spans="1:24" x14ac:dyDescent="0.3">
      <c r="A42" t="s">
        <v>640</v>
      </c>
      <c r="B42" t="s">
        <v>267</v>
      </c>
      <c r="C42">
        <v>2455</v>
      </c>
      <c r="D42">
        <f t="shared" si="21"/>
        <v>2458</v>
      </c>
      <c r="E42">
        <f t="shared" si="22"/>
        <v>2399</v>
      </c>
      <c r="F42">
        <f t="shared" si="23"/>
        <v>2458</v>
      </c>
      <c r="G42">
        <f t="shared" si="24"/>
        <v>2458</v>
      </c>
      <c r="H42">
        <f t="shared" si="25"/>
        <v>2459</v>
      </c>
      <c r="I42">
        <f t="shared" si="26"/>
        <v>2199</v>
      </c>
      <c r="J42">
        <f t="shared" si="27"/>
        <v>2076</v>
      </c>
      <c r="K42">
        <f t="shared" si="28"/>
        <v>1776</v>
      </c>
      <c r="L42">
        <f t="shared" si="29"/>
        <v>2184</v>
      </c>
      <c r="M42">
        <f t="shared" si="30"/>
        <v>1700</v>
      </c>
      <c r="N42">
        <f t="shared" si="31"/>
        <v>3229</v>
      </c>
      <c r="O42">
        <f t="shared" si="32"/>
        <v>3222</v>
      </c>
      <c r="P42">
        <f t="shared" si="33"/>
        <v>3232</v>
      </c>
      <c r="Q42">
        <f t="shared" si="34"/>
        <v>3285</v>
      </c>
      <c r="R42">
        <f t="shared" si="35"/>
        <v>3244</v>
      </c>
      <c r="S42">
        <f t="shared" si="36"/>
        <v>1316</v>
      </c>
      <c r="T42">
        <f t="shared" si="37"/>
        <v>2221</v>
      </c>
      <c r="U42">
        <f t="shared" si="38"/>
        <v>2338</v>
      </c>
      <c r="V42">
        <f t="shared" si="39"/>
        <v>1980</v>
      </c>
      <c r="W42">
        <f t="shared" si="40"/>
        <v>1791</v>
      </c>
      <c r="X42">
        <f t="shared" si="41"/>
        <v>2348</v>
      </c>
    </row>
    <row r="43" spans="1:24" x14ac:dyDescent="0.3">
      <c r="A43" t="s">
        <v>641</v>
      </c>
      <c r="B43" t="s">
        <v>272</v>
      </c>
      <c r="C43">
        <v>2622</v>
      </c>
      <c r="D43">
        <f t="shared" si="21"/>
        <v>2625</v>
      </c>
      <c r="E43">
        <f t="shared" si="22"/>
        <v>2566</v>
      </c>
      <c r="F43">
        <f t="shared" si="23"/>
        <v>2625</v>
      </c>
      <c r="G43">
        <f t="shared" si="24"/>
        <v>2625</v>
      </c>
      <c r="H43">
        <f t="shared" si="25"/>
        <v>2626</v>
      </c>
      <c r="I43">
        <f t="shared" si="26"/>
        <v>2366</v>
      </c>
      <c r="J43">
        <f t="shared" si="27"/>
        <v>2243</v>
      </c>
      <c r="K43">
        <f t="shared" si="28"/>
        <v>1943</v>
      </c>
      <c r="L43">
        <f t="shared" si="29"/>
        <v>2351</v>
      </c>
      <c r="M43">
        <f t="shared" si="30"/>
        <v>1867</v>
      </c>
      <c r="N43">
        <f t="shared" si="31"/>
        <v>3396</v>
      </c>
      <c r="O43">
        <f t="shared" si="32"/>
        <v>3389</v>
      </c>
      <c r="P43">
        <f t="shared" si="33"/>
        <v>3399</v>
      </c>
      <c r="Q43">
        <f t="shared" si="34"/>
        <v>3452</v>
      </c>
      <c r="R43">
        <f t="shared" si="35"/>
        <v>3411</v>
      </c>
      <c r="S43">
        <f t="shared" si="36"/>
        <v>1483</v>
      </c>
      <c r="T43">
        <f t="shared" si="37"/>
        <v>2388</v>
      </c>
      <c r="U43">
        <f t="shared" si="38"/>
        <v>2505</v>
      </c>
      <c r="V43">
        <f t="shared" si="39"/>
        <v>2147</v>
      </c>
      <c r="W43">
        <f t="shared" si="40"/>
        <v>1958</v>
      </c>
      <c r="X43">
        <f t="shared" si="41"/>
        <v>2515</v>
      </c>
    </row>
    <row r="44" spans="1:24" x14ac:dyDescent="0.3">
      <c r="A44" t="s">
        <v>642</v>
      </c>
      <c r="B44" t="s">
        <v>277</v>
      </c>
      <c r="C44">
        <v>2148</v>
      </c>
      <c r="D44">
        <f t="shared" si="21"/>
        <v>2151</v>
      </c>
      <c r="E44">
        <f t="shared" si="22"/>
        <v>2092</v>
      </c>
      <c r="F44">
        <f t="shared" si="23"/>
        <v>2151</v>
      </c>
      <c r="G44">
        <f t="shared" si="24"/>
        <v>2151</v>
      </c>
      <c r="H44">
        <f t="shared" si="25"/>
        <v>2152</v>
      </c>
      <c r="I44">
        <f t="shared" si="26"/>
        <v>1892</v>
      </c>
      <c r="J44">
        <f t="shared" si="27"/>
        <v>1769</v>
      </c>
      <c r="K44">
        <f t="shared" si="28"/>
        <v>1469</v>
      </c>
      <c r="L44">
        <f t="shared" si="29"/>
        <v>1877</v>
      </c>
      <c r="M44">
        <f t="shared" si="30"/>
        <v>1393</v>
      </c>
      <c r="N44">
        <f t="shared" si="31"/>
        <v>2922</v>
      </c>
      <c r="O44">
        <f t="shared" si="32"/>
        <v>2915</v>
      </c>
      <c r="P44">
        <f t="shared" si="33"/>
        <v>2925</v>
      </c>
      <c r="Q44">
        <f t="shared" si="34"/>
        <v>2978</v>
      </c>
      <c r="R44">
        <f t="shared" si="35"/>
        <v>2937</v>
      </c>
      <c r="S44">
        <f t="shared" si="36"/>
        <v>1009</v>
      </c>
      <c r="T44">
        <f t="shared" si="37"/>
        <v>1914</v>
      </c>
      <c r="U44">
        <f t="shared" si="38"/>
        <v>2031</v>
      </c>
      <c r="V44">
        <f t="shared" si="39"/>
        <v>1673</v>
      </c>
      <c r="W44">
        <f t="shared" si="40"/>
        <v>1484</v>
      </c>
      <c r="X44">
        <f t="shared" si="41"/>
        <v>2041</v>
      </c>
    </row>
    <row r="45" spans="1:24" x14ac:dyDescent="0.3">
      <c r="A45" t="s">
        <v>643</v>
      </c>
      <c r="B45" t="s">
        <v>283</v>
      </c>
      <c r="C45">
        <v>2144</v>
      </c>
      <c r="D45">
        <f t="shared" si="21"/>
        <v>2147</v>
      </c>
      <c r="E45">
        <f t="shared" si="22"/>
        <v>2088</v>
      </c>
      <c r="F45">
        <f t="shared" si="23"/>
        <v>2147</v>
      </c>
      <c r="G45">
        <f t="shared" si="24"/>
        <v>2147</v>
      </c>
      <c r="H45">
        <f t="shared" si="25"/>
        <v>2148</v>
      </c>
      <c r="I45">
        <f t="shared" si="26"/>
        <v>1888</v>
      </c>
      <c r="J45">
        <f t="shared" si="27"/>
        <v>1765</v>
      </c>
      <c r="K45">
        <f t="shared" si="28"/>
        <v>1465</v>
      </c>
      <c r="L45">
        <f t="shared" si="29"/>
        <v>1873</v>
      </c>
      <c r="M45">
        <f t="shared" si="30"/>
        <v>1389</v>
      </c>
      <c r="N45">
        <f t="shared" si="31"/>
        <v>2918</v>
      </c>
      <c r="O45">
        <f t="shared" si="32"/>
        <v>2911</v>
      </c>
      <c r="P45">
        <f t="shared" si="33"/>
        <v>2921</v>
      </c>
      <c r="Q45">
        <f t="shared" si="34"/>
        <v>2974</v>
      </c>
      <c r="R45">
        <f t="shared" si="35"/>
        <v>2933</v>
      </c>
      <c r="S45">
        <f t="shared" si="36"/>
        <v>1005</v>
      </c>
      <c r="T45">
        <f t="shared" si="37"/>
        <v>1910</v>
      </c>
      <c r="U45">
        <f t="shared" si="38"/>
        <v>2027</v>
      </c>
      <c r="V45">
        <f t="shared" si="39"/>
        <v>1669</v>
      </c>
      <c r="W45">
        <f t="shared" si="40"/>
        <v>1480</v>
      </c>
      <c r="X45">
        <f t="shared" si="41"/>
        <v>2037</v>
      </c>
    </row>
    <row r="46" spans="1:24" x14ac:dyDescent="0.3">
      <c r="A46" t="s">
        <v>644</v>
      </c>
      <c r="B46" t="s">
        <v>288</v>
      </c>
      <c r="C46">
        <v>2436</v>
      </c>
      <c r="D46">
        <f t="shared" si="21"/>
        <v>2439</v>
      </c>
      <c r="E46">
        <f t="shared" si="22"/>
        <v>2380</v>
      </c>
      <c r="F46">
        <f t="shared" si="23"/>
        <v>2439</v>
      </c>
      <c r="G46">
        <f t="shared" si="24"/>
        <v>2439</v>
      </c>
      <c r="H46">
        <f t="shared" si="25"/>
        <v>2440</v>
      </c>
      <c r="I46">
        <f t="shared" si="26"/>
        <v>2180</v>
      </c>
      <c r="J46">
        <f t="shared" si="27"/>
        <v>2057</v>
      </c>
      <c r="K46">
        <f t="shared" si="28"/>
        <v>1757</v>
      </c>
      <c r="L46">
        <f t="shared" si="29"/>
        <v>2165</v>
      </c>
      <c r="M46">
        <f t="shared" si="30"/>
        <v>1681</v>
      </c>
      <c r="N46">
        <f t="shared" si="31"/>
        <v>3210</v>
      </c>
      <c r="O46">
        <f t="shared" si="32"/>
        <v>3203</v>
      </c>
      <c r="P46">
        <f t="shared" si="33"/>
        <v>3213</v>
      </c>
      <c r="Q46">
        <f t="shared" si="34"/>
        <v>3266</v>
      </c>
      <c r="R46">
        <f t="shared" si="35"/>
        <v>3225</v>
      </c>
      <c r="S46">
        <f t="shared" si="36"/>
        <v>1297</v>
      </c>
      <c r="T46">
        <f t="shared" si="37"/>
        <v>2202</v>
      </c>
      <c r="U46">
        <f t="shared" si="38"/>
        <v>2319</v>
      </c>
      <c r="V46">
        <f t="shared" si="39"/>
        <v>1961</v>
      </c>
      <c r="W46">
        <f t="shared" si="40"/>
        <v>1772</v>
      </c>
      <c r="X46">
        <f t="shared" si="41"/>
        <v>2329</v>
      </c>
    </row>
    <row r="47" spans="1:24" x14ac:dyDescent="0.3">
      <c r="A47" t="s">
        <v>645</v>
      </c>
      <c r="B47" t="s">
        <v>735</v>
      </c>
      <c r="C47">
        <v>2425</v>
      </c>
      <c r="D47">
        <f t="shared" si="21"/>
        <v>2428</v>
      </c>
      <c r="E47">
        <f t="shared" si="22"/>
        <v>2369</v>
      </c>
      <c r="F47">
        <f t="shared" si="23"/>
        <v>2428</v>
      </c>
      <c r="G47">
        <f t="shared" si="24"/>
        <v>2428</v>
      </c>
      <c r="H47">
        <f t="shared" si="25"/>
        <v>2429</v>
      </c>
      <c r="I47">
        <f t="shared" si="26"/>
        <v>2169</v>
      </c>
      <c r="J47">
        <f t="shared" si="27"/>
        <v>2046</v>
      </c>
      <c r="K47">
        <f t="shared" si="28"/>
        <v>1746</v>
      </c>
      <c r="L47">
        <f t="shared" si="29"/>
        <v>2154</v>
      </c>
      <c r="M47">
        <f t="shared" si="30"/>
        <v>1670</v>
      </c>
      <c r="N47">
        <f t="shared" si="31"/>
        <v>3199</v>
      </c>
      <c r="O47">
        <f t="shared" si="32"/>
        <v>3192</v>
      </c>
      <c r="P47">
        <f t="shared" si="33"/>
        <v>3202</v>
      </c>
      <c r="Q47">
        <f t="shared" si="34"/>
        <v>3255</v>
      </c>
      <c r="R47">
        <f t="shared" si="35"/>
        <v>3214</v>
      </c>
      <c r="S47">
        <f t="shared" si="36"/>
        <v>1286</v>
      </c>
      <c r="T47">
        <f t="shared" si="37"/>
        <v>2191</v>
      </c>
      <c r="U47">
        <f t="shared" si="38"/>
        <v>2308</v>
      </c>
      <c r="V47">
        <f t="shared" si="39"/>
        <v>1950</v>
      </c>
      <c r="W47">
        <f t="shared" si="40"/>
        <v>1761</v>
      </c>
      <c r="X47">
        <f t="shared" si="41"/>
        <v>2318</v>
      </c>
    </row>
    <row r="48" spans="1:24" x14ac:dyDescent="0.3">
      <c r="A48" t="s">
        <v>646</v>
      </c>
      <c r="B48" t="s">
        <v>301</v>
      </c>
      <c r="C48">
        <v>2061</v>
      </c>
      <c r="D48">
        <f t="shared" si="21"/>
        <v>2064</v>
      </c>
      <c r="E48">
        <f t="shared" si="22"/>
        <v>2005</v>
      </c>
      <c r="F48">
        <f t="shared" si="23"/>
        <v>2064</v>
      </c>
      <c r="G48">
        <f t="shared" si="24"/>
        <v>2064</v>
      </c>
      <c r="H48">
        <f t="shared" si="25"/>
        <v>2065</v>
      </c>
      <c r="I48">
        <f t="shared" si="26"/>
        <v>1805</v>
      </c>
      <c r="J48">
        <f t="shared" si="27"/>
        <v>1682</v>
      </c>
      <c r="K48">
        <f t="shared" si="28"/>
        <v>1382</v>
      </c>
      <c r="L48">
        <f t="shared" si="29"/>
        <v>1790</v>
      </c>
      <c r="M48">
        <f t="shared" si="30"/>
        <v>1306</v>
      </c>
      <c r="N48">
        <f t="shared" si="31"/>
        <v>2835</v>
      </c>
      <c r="O48">
        <f t="shared" si="32"/>
        <v>2828</v>
      </c>
      <c r="P48">
        <f t="shared" si="33"/>
        <v>2838</v>
      </c>
      <c r="Q48">
        <f t="shared" si="34"/>
        <v>2891</v>
      </c>
      <c r="R48">
        <f t="shared" si="35"/>
        <v>2850</v>
      </c>
      <c r="S48">
        <f t="shared" si="36"/>
        <v>922</v>
      </c>
      <c r="T48">
        <f t="shared" si="37"/>
        <v>1827</v>
      </c>
      <c r="U48">
        <f t="shared" si="38"/>
        <v>1944</v>
      </c>
      <c r="V48">
        <f t="shared" si="39"/>
        <v>1586</v>
      </c>
      <c r="W48">
        <f t="shared" si="40"/>
        <v>1397</v>
      </c>
      <c r="X48">
        <f t="shared" si="41"/>
        <v>1954</v>
      </c>
    </row>
    <row r="49" spans="1:24" x14ac:dyDescent="0.3">
      <c r="A49" t="s">
        <v>647</v>
      </c>
      <c r="B49" t="s">
        <v>307</v>
      </c>
      <c r="C49">
        <v>2181</v>
      </c>
      <c r="D49">
        <f t="shared" si="21"/>
        <v>2184</v>
      </c>
      <c r="E49">
        <f t="shared" si="22"/>
        <v>2125</v>
      </c>
      <c r="F49">
        <f t="shared" si="23"/>
        <v>2184</v>
      </c>
      <c r="G49">
        <f t="shared" si="24"/>
        <v>2184</v>
      </c>
      <c r="H49">
        <f t="shared" si="25"/>
        <v>2185</v>
      </c>
      <c r="I49">
        <f t="shared" si="26"/>
        <v>1925</v>
      </c>
      <c r="J49">
        <f t="shared" si="27"/>
        <v>1802</v>
      </c>
      <c r="K49">
        <f t="shared" si="28"/>
        <v>1502</v>
      </c>
      <c r="L49">
        <f t="shared" si="29"/>
        <v>1910</v>
      </c>
      <c r="M49">
        <f t="shared" si="30"/>
        <v>1426</v>
      </c>
      <c r="N49">
        <f t="shared" si="31"/>
        <v>2955</v>
      </c>
      <c r="O49">
        <f t="shared" si="32"/>
        <v>2948</v>
      </c>
      <c r="P49">
        <f t="shared" si="33"/>
        <v>2958</v>
      </c>
      <c r="Q49">
        <f t="shared" si="34"/>
        <v>3011</v>
      </c>
      <c r="R49">
        <f t="shared" si="35"/>
        <v>2970</v>
      </c>
      <c r="S49">
        <f t="shared" si="36"/>
        <v>1042</v>
      </c>
      <c r="T49">
        <f t="shared" si="37"/>
        <v>1947</v>
      </c>
      <c r="U49">
        <f t="shared" si="38"/>
        <v>2064</v>
      </c>
      <c r="V49">
        <f t="shared" si="39"/>
        <v>1706</v>
      </c>
      <c r="W49">
        <f t="shared" si="40"/>
        <v>1517</v>
      </c>
      <c r="X49">
        <f t="shared" si="41"/>
        <v>2074</v>
      </c>
    </row>
    <row r="50" spans="1:24" x14ac:dyDescent="0.3">
      <c r="A50" t="s">
        <v>648</v>
      </c>
      <c r="B50" t="s">
        <v>312</v>
      </c>
      <c r="C50">
        <v>2141</v>
      </c>
      <c r="D50">
        <f t="shared" si="21"/>
        <v>2144</v>
      </c>
      <c r="E50">
        <f t="shared" si="22"/>
        <v>2085</v>
      </c>
      <c r="F50">
        <f t="shared" si="23"/>
        <v>2144</v>
      </c>
      <c r="G50">
        <f t="shared" si="24"/>
        <v>2144</v>
      </c>
      <c r="H50">
        <f t="shared" si="25"/>
        <v>2145</v>
      </c>
      <c r="I50">
        <f t="shared" si="26"/>
        <v>1885</v>
      </c>
      <c r="J50">
        <f t="shared" si="27"/>
        <v>1762</v>
      </c>
      <c r="K50">
        <f t="shared" si="28"/>
        <v>1462</v>
      </c>
      <c r="L50">
        <f t="shared" si="29"/>
        <v>1870</v>
      </c>
      <c r="M50">
        <f t="shared" si="30"/>
        <v>1386</v>
      </c>
      <c r="N50">
        <f t="shared" si="31"/>
        <v>2915</v>
      </c>
      <c r="O50">
        <f t="shared" si="32"/>
        <v>2908</v>
      </c>
      <c r="P50">
        <f t="shared" si="33"/>
        <v>2918</v>
      </c>
      <c r="Q50">
        <f t="shared" si="34"/>
        <v>2971</v>
      </c>
      <c r="R50">
        <f t="shared" si="35"/>
        <v>2930</v>
      </c>
      <c r="S50">
        <f t="shared" si="36"/>
        <v>1002</v>
      </c>
      <c r="T50">
        <f t="shared" si="37"/>
        <v>1907</v>
      </c>
      <c r="U50">
        <f t="shared" si="38"/>
        <v>2024</v>
      </c>
      <c r="V50">
        <f t="shared" si="39"/>
        <v>1666</v>
      </c>
      <c r="W50">
        <f t="shared" si="40"/>
        <v>1477</v>
      </c>
      <c r="X50">
        <f t="shared" si="41"/>
        <v>2034</v>
      </c>
    </row>
    <row r="51" spans="1:24" x14ac:dyDescent="0.3">
      <c r="A51" t="s">
        <v>649</v>
      </c>
      <c r="B51" t="s">
        <v>317</v>
      </c>
      <c r="C51">
        <v>2136</v>
      </c>
      <c r="D51">
        <f t="shared" si="21"/>
        <v>2139</v>
      </c>
      <c r="E51">
        <f t="shared" si="22"/>
        <v>2080</v>
      </c>
      <c r="F51">
        <f t="shared" si="23"/>
        <v>2139</v>
      </c>
      <c r="G51">
        <f t="shared" si="24"/>
        <v>2139</v>
      </c>
      <c r="H51">
        <f t="shared" si="25"/>
        <v>2140</v>
      </c>
      <c r="I51">
        <f t="shared" si="26"/>
        <v>1880</v>
      </c>
      <c r="J51">
        <f t="shared" si="27"/>
        <v>1757</v>
      </c>
      <c r="K51">
        <f t="shared" si="28"/>
        <v>1457</v>
      </c>
      <c r="L51">
        <f t="shared" si="29"/>
        <v>1865</v>
      </c>
      <c r="M51">
        <f t="shared" si="30"/>
        <v>1381</v>
      </c>
      <c r="N51">
        <f t="shared" si="31"/>
        <v>2910</v>
      </c>
      <c r="O51">
        <f t="shared" si="32"/>
        <v>2903</v>
      </c>
      <c r="P51">
        <f t="shared" si="33"/>
        <v>2913</v>
      </c>
      <c r="Q51">
        <f t="shared" si="34"/>
        <v>2966</v>
      </c>
      <c r="R51">
        <f t="shared" si="35"/>
        <v>2925</v>
      </c>
      <c r="S51">
        <f t="shared" si="36"/>
        <v>997</v>
      </c>
      <c r="T51">
        <f t="shared" si="37"/>
        <v>1902</v>
      </c>
      <c r="U51">
        <f t="shared" si="38"/>
        <v>2019</v>
      </c>
      <c r="V51">
        <f t="shared" si="39"/>
        <v>1661</v>
      </c>
      <c r="W51">
        <f t="shared" si="40"/>
        <v>1472</v>
      </c>
      <c r="X51">
        <f t="shared" si="41"/>
        <v>2029</v>
      </c>
    </row>
    <row r="52" spans="1:24" x14ac:dyDescent="0.3">
      <c r="A52" t="s">
        <v>650</v>
      </c>
      <c r="B52" t="s">
        <v>322</v>
      </c>
      <c r="C52">
        <v>1874</v>
      </c>
      <c r="D52">
        <f t="shared" si="21"/>
        <v>1877</v>
      </c>
      <c r="E52">
        <f t="shared" si="22"/>
        <v>1818</v>
      </c>
      <c r="F52">
        <f t="shared" si="23"/>
        <v>1877</v>
      </c>
      <c r="G52">
        <f t="shared" si="24"/>
        <v>1877</v>
      </c>
      <c r="H52">
        <f t="shared" si="25"/>
        <v>1878</v>
      </c>
      <c r="I52">
        <f t="shared" si="26"/>
        <v>1618</v>
      </c>
      <c r="J52">
        <f t="shared" si="27"/>
        <v>1495</v>
      </c>
      <c r="K52">
        <f t="shared" si="28"/>
        <v>1195</v>
      </c>
      <c r="L52">
        <f t="shared" si="29"/>
        <v>1603</v>
      </c>
      <c r="M52">
        <f t="shared" si="30"/>
        <v>1119</v>
      </c>
      <c r="N52">
        <f t="shared" si="31"/>
        <v>2648</v>
      </c>
      <c r="O52">
        <f t="shared" si="32"/>
        <v>2641</v>
      </c>
      <c r="P52">
        <f t="shared" si="33"/>
        <v>2651</v>
      </c>
      <c r="Q52">
        <f t="shared" si="34"/>
        <v>2704</v>
      </c>
      <c r="R52">
        <f t="shared" si="35"/>
        <v>2663</v>
      </c>
      <c r="S52">
        <f t="shared" si="36"/>
        <v>735</v>
      </c>
      <c r="T52">
        <f t="shared" si="37"/>
        <v>1640</v>
      </c>
      <c r="U52">
        <f t="shared" si="38"/>
        <v>1757</v>
      </c>
      <c r="V52">
        <f t="shared" si="39"/>
        <v>1399</v>
      </c>
      <c r="W52">
        <f t="shared" si="40"/>
        <v>1210</v>
      </c>
      <c r="X52">
        <f t="shared" si="41"/>
        <v>1767</v>
      </c>
    </row>
    <row r="53" spans="1:24" x14ac:dyDescent="0.3">
      <c r="A53" t="s">
        <v>651</v>
      </c>
      <c r="B53" t="s">
        <v>328</v>
      </c>
      <c r="C53">
        <v>2257</v>
      </c>
      <c r="D53">
        <f t="shared" si="21"/>
        <v>2260</v>
      </c>
      <c r="E53">
        <f t="shared" si="22"/>
        <v>2201</v>
      </c>
      <c r="F53">
        <f t="shared" si="23"/>
        <v>2260</v>
      </c>
      <c r="G53">
        <f t="shared" si="24"/>
        <v>2260</v>
      </c>
      <c r="H53">
        <f t="shared" si="25"/>
        <v>2261</v>
      </c>
      <c r="I53">
        <f t="shared" si="26"/>
        <v>2001</v>
      </c>
      <c r="J53">
        <f t="shared" si="27"/>
        <v>1878</v>
      </c>
      <c r="K53">
        <f t="shared" si="28"/>
        <v>1578</v>
      </c>
      <c r="L53">
        <f t="shared" si="29"/>
        <v>1986</v>
      </c>
      <c r="M53">
        <f t="shared" si="30"/>
        <v>1502</v>
      </c>
      <c r="N53">
        <f t="shared" si="31"/>
        <v>3031</v>
      </c>
      <c r="O53">
        <f t="shared" si="32"/>
        <v>3024</v>
      </c>
      <c r="P53">
        <f t="shared" si="33"/>
        <v>3034</v>
      </c>
      <c r="Q53">
        <f t="shared" si="34"/>
        <v>3087</v>
      </c>
      <c r="R53">
        <f t="shared" si="35"/>
        <v>3046</v>
      </c>
      <c r="S53">
        <f t="shared" si="36"/>
        <v>1118</v>
      </c>
      <c r="T53">
        <f t="shared" si="37"/>
        <v>2023</v>
      </c>
      <c r="U53">
        <f t="shared" si="38"/>
        <v>2140</v>
      </c>
      <c r="V53">
        <f t="shared" si="39"/>
        <v>1782</v>
      </c>
      <c r="W53">
        <f t="shared" si="40"/>
        <v>1593</v>
      </c>
      <c r="X53">
        <f t="shared" si="41"/>
        <v>2150</v>
      </c>
    </row>
    <row r="54" spans="1:24" x14ac:dyDescent="0.3">
      <c r="A54" t="s">
        <v>652</v>
      </c>
      <c r="B54" t="s">
        <v>334</v>
      </c>
      <c r="C54">
        <v>1765</v>
      </c>
      <c r="D54">
        <f t="shared" si="21"/>
        <v>1768</v>
      </c>
      <c r="E54">
        <f t="shared" si="22"/>
        <v>1709</v>
      </c>
      <c r="F54">
        <f t="shared" si="23"/>
        <v>1768</v>
      </c>
      <c r="G54">
        <f t="shared" si="24"/>
        <v>1768</v>
      </c>
      <c r="H54">
        <f t="shared" si="25"/>
        <v>1769</v>
      </c>
      <c r="I54">
        <f t="shared" si="26"/>
        <v>1509</v>
      </c>
      <c r="J54">
        <f t="shared" si="27"/>
        <v>1386</v>
      </c>
      <c r="K54">
        <f t="shared" si="28"/>
        <v>1086</v>
      </c>
      <c r="L54">
        <f t="shared" si="29"/>
        <v>1494</v>
      </c>
      <c r="M54">
        <f t="shared" si="30"/>
        <v>1010</v>
      </c>
      <c r="N54">
        <f t="shared" si="31"/>
        <v>2539</v>
      </c>
      <c r="O54">
        <f t="shared" si="32"/>
        <v>2532</v>
      </c>
      <c r="P54">
        <f t="shared" si="33"/>
        <v>2542</v>
      </c>
      <c r="Q54">
        <f t="shared" si="34"/>
        <v>2595</v>
      </c>
      <c r="R54">
        <f t="shared" si="35"/>
        <v>2554</v>
      </c>
      <c r="S54">
        <f t="shared" si="36"/>
        <v>626</v>
      </c>
      <c r="T54">
        <f t="shared" si="37"/>
        <v>1531</v>
      </c>
      <c r="U54">
        <f t="shared" si="38"/>
        <v>1648</v>
      </c>
      <c r="V54">
        <f t="shared" si="39"/>
        <v>1290</v>
      </c>
      <c r="W54">
        <f t="shared" si="40"/>
        <v>1101</v>
      </c>
      <c r="X54">
        <f t="shared" si="41"/>
        <v>1658</v>
      </c>
    </row>
    <row r="55" spans="1:24" x14ac:dyDescent="0.3">
      <c r="A55" t="s">
        <v>653</v>
      </c>
      <c r="B55" t="s">
        <v>340</v>
      </c>
      <c r="C55">
        <v>1729</v>
      </c>
      <c r="D55">
        <f t="shared" si="21"/>
        <v>1732</v>
      </c>
      <c r="E55">
        <f t="shared" si="22"/>
        <v>1673</v>
      </c>
      <c r="F55">
        <f t="shared" si="23"/>
        <v>1732</v>
      </c>
      <c r="G55">
        <f t="shared" si="24"/>
        <v>1732</v>
      </c>
      <c r="H55">
        <f t="shared" si="25"/>
        <v>1733</v>
      </c>
      <c r="I55">
        <f t="shared" si="26"/>
        <v>1473</v>
      </c>
      <c r="J55">
        <f t="shared" si="27"/>
        <v>1350</v>
      </c>
      <c r="K55">
        <f t="shared" si="28"/>
        <v>1050</v>
      </c>
      <c r="L55">
        <f t="shared" si="29"/>
        <v>1458</v>
      </c>
      <c r="M55">
        <f t="shared" si="30"/>
        <v>974</v>
      </c>
      <c r="N55">
        <f t="shared" si="31"/>
        <v>2503</v>
      </c>
      <c r="O55">
        <f t="shared" si="32"/>
        <v>2496</v>
      </c>
      <c r="P55">
        <f t="shared" si="33"/>
        <v>2506</v>
      </c>
      <c r="Q55">
        <f t="shared" si="34"/>
        <v>2559</v>
      </c>
      <c r="R55">
        <f t="shared" si="35"/>
        <v>2518</v>
      </c>
      <c r="S55">
        <f t="shared" si="36"/>
        <v>590</v>
      </c>
      <c r="T55">
        <f t="shared" si="37"/>
        <v>1495</v>
      </c>
      <c r="U55">
        <f t="shared" si="38"/>
        <v>1612</v>
      </c>
      <c r="V55">
        <f t="shared" si="39"/>
        <v>1254</v>
      </c>
      <c r="W55">
        <f t="shared" si="40"/>
        <v>1065</v>
      </c>
      <c r="X55">
        <f t="shared" si="41"/>
        <v>1622</v>
      </c>
    </row>
    <row r="56" spans="1:24" x14ac:dyDescent="0.3">
      <c r="A56" t="s">
        <v>654</v>
      </c>
      <c r="B56" t="s">
        <v>345</v>
      </c>
      <c r="C56">
        <v>1866</v>
      </c>
      <c r="D56">
        <f t="shared" si="21"/>
        <v>1869</v>
      </c>
      <c r="E56">
        <f t="shared" si="22"/>
        <v>1810</v>
      </c>
      <c r="F56">
        <f t="shared" si="23"/>
        <v>1869</v>
      </c>
      <c r="G56">
        <f t="shared" si="24"/>
        <v>1869</v>
      </c>
      <c r="H56">
        <f t="shared" si="25"/>
        <v>1870</v>
      </c>
      <c r="I56">
        <f t="shared" si="26"/>
        <v>1610</v>
      </c>
      <c r="J56">
        <f t="shared" si="27"/>
        <v>1487</v>
      </c>
      <c r="K56">
        <f t="shared" si="28"/>
        <v>1187</v>
      </c>
      <c r="L56">
        <f t="shared" si="29"/>
        <v>1595</v>
      </c>
      <c r="M56">
        <f t="shared" si="30"/>
        <v>1111</v>
      </c>
      <c r="N56">
        <f t="shared" si="31"/>
        <v>2640</v>
      </c>
      <c r="O56">
        <f t="shared" si="32"/>
        <v>2633</v>
      </c>
      <c r="P56">
        <f t="shared" si="33"/>
        <v>2643</v>
      </c>
      <c r="Q56">
        <f t="shared" si="34"/>
        <v>2696</v>
      </c>
      <c r="R56">
        <f t="shared" si="35"/>
        <v>2655</v>
      </c>
      <c r="S56">
        <f t="shared" si="36"/>
        <v>727</v>
      </c>
      <c r="T56">
        <f t="shared" si="37"/>
        <v>1632</v>
      </c>
      <c r="U56">
        <f t="shared" si="38"/>
        <v>1749</v>
      </c>
      <c r="V56">
        <f t="shared" si="39"/>
        <v>1391</v>
      </c>
      <c r="W56">
        <f t="shared" si="40"/>
        <v>1202</v>
      </c>
      <c r="X56">
        <f t="shared" si="41"/>
        <v>1759</v>
      </c>
    </row>
    <row r="57" spans="1:24" x14ac:dyDescent="0.3">
      <c r="A57" t="s">
        <v>655</v>
      </c>
      <c r="B57" t="s">
        <v>350</v>
      </c>
      <c r="C57">
        <v>1673</v>
      </c>
      <c r="D57">
        <f t="shared" si="21"/>
        <v>1676</v>
      </c>
      <c r="E57">
        <f t="shared" si="22"/>
        <v>1617</v>
      </c>
      <c r="F57">
        <f t="shared" si="23"/>
        <v>1676</v>
      </c>
      <c r="G57">
        <f t="shared" si="24"/>
        <v>1676</v>
      </c>
      <c r="H57">
        <f t="shared" si="25"/>
        <v>1677</v>
      </c>
      <c r="I57">
        <f t="shared" si="26"/>
        <v>1417</v>
      </c>
      <c r="J57">
        <f t="shared" si="27"/>
        <v>1294</v>
      </c>
      <c r="K57">
        <f t="shared" si="28"/>
        <v>994</v>
      </c>
      <c r="L57">
        <f t="shared" si="29"/>
        <v>1402</v>
      </c>
      <c r="M57">
        <f t="shared" si="30"/>
        <v>918</v>
      </c>
      <c r="N57">
        <f t="shared" si="31"/>
        <v>2447</v>
      </c>
      <c r="O57">
        <f t="shared" si="32"/>
        <v>2440</v>
      </c>
      <c r="P57">
        <f t="shared" si="33"/>
        <v>2450</v>
      </c>
      <c r="Q57">
        <f t="shared" si="34"/>
        <v>2503</v>
      </c>
      <c r="R57">
        <f t="shared" si="35"/>
        <v>2462</v>
      </c>
      <c r="S57">
        <f t="shared" si="36"/>
        <v>534</v>
      </c>
      <c r="T57">
        <f t="shared" si="37"/>
        <v>1439</v>
      </c>
      <c r="U57">
        <f t="shared" si="38"/>
        <v>1556</v>
      </c>
      <c r="V57">
        <f t="shared" si="39"/>
        <v>1198</v>
      </c>
      <c r="W57">
        <f t="shared" si="40"/>
        <v>1009</v>
      </c>
      <c r="X57">
        <f t="shared" si="41"/>
        <v>1566</v>
      </c>
    </row>
    <row r="58" spans="1:24" x14ac:dyDescent="0.3">
      <c r="A58" t="s">
        <v>656</v>
      </c>
      <c r="B58" t="s">
        <v>356</v>
      </c>
      <c r="C58">
        <v>1686</v>
      </c>
      <c r="D58">
        <f t="shared" si="21"/>
        <v>1689</v>
      </c>
      <c r="E58">
        <f t="shared" si="22"/>
        <v>1630</v>
      </c>
      <c r="F58">
        <f t="shared" si="23"/>
        <v>1689</v>
      </c>
      <c r="G58">
        <f t="shared" si="24"/>
        <v>1689</v>
      </c>
      <c r="H58">
        <f t="shared" si="25"/>
        <v>1690</v>
      </c>
      <c r="I58">
        <f t="shared" si="26"/>
        <v>1430</v>
      </c>
      <c r="J58">
        <f t="shared" si="27"/>
        <v>1307</v>
      </c>
      <c r="K58">
        <f t="shared" si="28"/>
        <v>1007</v>
      </c>
      <c r="L58">
        <f t="shared" si="29"/>
        <v>1415</v>
      </c>
      <c r="M58">
        <f t="shared" si="30"/>
        <v>931</v>
      </c>
      <c r="N58">
        <f t="shared" si="31"/>
        <v>2460</v>
      </c>
      <c r="O58">
        <f t="shared" si="32"/>
        <v>2453</v>
      </c>
      <c r="P58">
        <f t="shared" si="33"/>
        <v>2463</v>
      </c>
      <c r="Q58">
        <f t="shared" si="34"/>
        <v>2516</v>
      </c>
      <c r="R58">
        <f t="shared" si="35"/>
        <v>2475</v>
      </c>
      <c r="S58">
        <f t="shared" si="36"/>
        <v>547</v>
      </c>
      <c r="T58">
        <f t="shared" si="37"/>
        <v>1452</v>
      </c>
      <c r="U58">
        <f t="shared" si="38"/>
        <v>1569</v>
      </c>
      <c r="V58">
        <f t="shared" si="39"/>
        <v>1211</v>
      </c>
      <c r="W58">
        <f t="shared" si="40"/>
        <v>1022</v>
      </c>
      <c r="X58">
        <f t="shared" si="41"/>
        <v>1579</v>
      </c>
    </row>
    <row r="59" spans="1:24" x14ac:dyDescent="0.3">
      <c r="A59" t="s">
        <v>657</v>
      </c>
      <c r="B59" t="s">
        <v>361</v>
      </c>
      <c r="C59">
        <v>1570</v>
      </c>
      <c r="D59">
        <f t="shared" si="21"/>
        <v>1573</v>
      </c>
      <c r="E59">
        <f t="shared" si="22"/>
        <v>1514</v>
      </c>
      <c r="F59">
        <f t="shared" si="23"/>
        <v>1573</v>
      </c>
      <c r="G59">
        <f t="shared" si="24"/>
        <v>1573</v>
      </c>
      <c r="H59">
        <f t="shared" si="25"/>
        <v>1574</v>
      </c>
      <c r="I59">
        <f t="shared" si="26"/>
        <v>1314</v>
      </c>
      <c r="J59">
        <f t="shared" si="27"/>
        <v>1191</v>
      </c>
      <c r="K59">
        <f t="shared" si="28"/>
        <v>891</v>
      </c>
      <c r="L59">
        <f t="shared" si="29"/>
        <v>1299</v>
      </c>
      <c r="M59">
        <f t="shared" si="30"/>
        <v>815</v>
      </c>
      <c r="N59">
        <f t="shared" si="31"/>
        <v>2344</v>
      </c>
      <c r="O59">
        <f t="shared" si="32"/>
        <v>2337</v>
      </c>
      <c r="P59">
        <f t="shared" si="33"/>
        <v>2347</v>
      </c>
      <c r="Q59">
        <f t="shared" si="34"/>
        <v>2400</v>
      </c>
      <c r="R59">
        <f t="shared" si="35"/>
        <v>2359</v>
      </c>
      <c r="S59">
        <f t="shared" si="36"/>
        <v>431</v>
      </c>
      <c r="T59">
        <f t="shared" si="37"/>
        <v>1336</v>
      </c>
      <c r="U59">
        <f t="shared" si="38"/>
        <v>1453</v>
      </c>
      <c r="V59">
        <f t="shared" si="39"/>
        <v>1095</v>
      </c>
      <c r="W59">
        <f t="shared" si="40"/>
        <v>906</v>
      </c>
      <c r="X59">
        <f t="shared" si="41"/>
        <v>1463</v>
      </c>
    </row>
    <row r="60" spans="1:24" x14ac:dyDescent="0.3">
      <c r="A60" t="s">
        <v>658</v>
      </c>
      <c r="B60" t="s">
        <v>366</v>
      </c>
      <c r="C60">
        <v>1550</v>
      </c>
      <c r="D60">
        <f t="shared" si="21"/>
        <v>1553</v>
      </c>
      <c r="E60">
        <f t="shared" si="22"/>
        <v>1494</v>
      </c>
      <c r="F60">
        <f t="shared" si="23"/>
        <v>1553</v>
      </c>
      <c r="G60">
        <f t="shared" si="24"/>
        <v>1553</v>
      </c>
      <c r="H60">
        <f t="shared" si="25"/>
        <v>1554</v>
      </c>
      <c r="I60">
        <f t="shared" si="26"/>
        <v>1294</v>
      </c>
      <c r="J60">
        <f t="shared" si="27"/>
        <v>1171</v>
      </c>
      <c r="K60">
        <f t="shared" si="28"/>
        <v>871</v>
      </c>
      <c r="L60">
        <f t="shared" si="29"/>
        <v>1279</v>
      </c>
      <c r="M60">
        <f t="shared" si="30"/>
        <v>795</v>
      </c>
      <c r="N60">
        <f t="shared" si="31"/>
        <v>2324</v>
      </c>
      <c r="O60">
        <f t="shared" si="32"/>
        <v>2317</v>
      </c>
      <c r="P60">
        <f t="shared" si="33"/>
        <v>2327</v>
      </c>
      <c r="Q60">
        <f t="shared" si="34"/>
        <v>2380</v>
      </c>
      <c r="R60">
        <f t="shared" si="35"/>
        <v>2339</v>
      </c>
      <c r="S60">
        <f t="shared" si="36"/>
        <v>411</v>
      </c>
      <c r="T60">
        <f t="shared" si="37"/>
        <v>1316</v>
      </c>
      <c r="U60">
        <f t="shared" si="38"/>
        <v>1433</v>
      </c>
      <c r="V60">
        <f t="shared" si="39"/>
        <v>1075</v>
      </c>
      <c r="W60">
        <f t="shared" si="40"/>
        <v>886</v>
      </c>
      <c r="X60">
        <f t="shared" si="41"/>
        <v>1443</v>
      </c>
    </row>
    <row r="61" spans="1:24" x14ac:dyDescent="0.3">
      <c r="A61" t="s">
        <v>659</v>
      </c>
      <c r="B61" t="s">
        <v>371</v>
      </c>
      <c r="C61">
        <v>1632</v>
      </c>
      <c r="D61">
        <f t="shared" si="21"/>
        <v>1635</v>
      </c>
      <c r="E61">
        <f t="shared" si="22"/>
        <v>1576</v>
      </c>
      <c r="F61">
        <f t="shared" si="23"/>
        <v>1635</v>
      </c>
      <c r="G61">
        <f t="shared" si="24"/>
        <v>1635</v>
      </c>
      <c r="H61">
        <f t="shared" si="25"/>
        <v>1636</v>
      </c>
      <c r="I61">
        <f t="shared" si="26"/>
        <v>1376</v>
      </c>
      <c r="J61">
        <f t="shared" si="27"/>
        <v>1253</v>
      </c>
      <c r="K61">
        <f t="shared" si="28"/>
        <v>953</v>
      </c>
      <c r="L61">
        <f t="shared" si="29"/>
        <v>1361</v>
      </c>
      <c r="M61">
        <f t="shared" si="30"/>
        <v>877</v>
      </c>
      <c r="N61">
        <f t="shared" si="31"/>
        <v>2406</v>
      </c>
      <c r="O61">
        <f t="shared" si="32"/>
        <v>2399</v>
      </c>
      <c r="P61">
        <f t="shared" si="33"/>
        <v>2409</v>
      </c>
      <c r="Q61">
        <f t="shared" si="34"/>
        <v>2462</v>
      </c>
      <c r="R61">
        <f t="shared" si="35"/>
        <v>2421</v>
      </c>
      <c r="S61">
        <f t="shared" si="36"/>
        <v>493</v>
      </c>
      <c r="T61">
        <f t="shared" si="37"/>
        <v>1398</v>
      </c>
      <c r="U61">
        <f t="shared" si="38"/>
        <v>1515</v>
      </c>
      <c r="V61">
        <f t="shared" si="39"/>
        <v>1157</v>
      </c>
      <c r="W61">
        <f t="shared" si="40"/>
        <v>968</v>
      </c>
      <c r="X61">
        <f t="shared" si="41"/>
        <v>1525</v>
      </c>
    </row>
    <row r="62" spans="1:24" x14ac:dyDescent="0.3">
      <c r="A62" t="s">
        <v>660</v>
      </c>
      <c r="B62" t="s">
        <v>376</v>
      </c>
      <c r="C62">
        <v>1742</v>
      </c>
      <c r="D62">
        <f t="shared" si="21"/>
        <v>1745</v>
      </c>
      <c r="E62">
        <f t="shared" si="22"/>
        <v>1686</v>
      </c>
      <c r="F62">
        <f t="shared" si="23"/>
        <v>1745</v>
      </c>
      <c r="G62">
        <f t="shared" si="24"/>
        <v>1745</v>
      </c>
      <c r="H62">
        <f t="shared" si="25"/>
        <v>1746</v>
      </c>
      <c r="I62">
        <f t="shared" si="26"/>
        <v>1486</v>
      </c>
      <c r="J62">
        <f t="shared" si="27"/>
        <v>1363</v>
      </c>
      <c r="K62">
        <f t="shared" si="28"/>
        <v>1063</v>
      </c>
      <c r="L62">
        <f t="shared" si="29"/>
        <v>1471</v>
      </c>
      <c r="M62">
        <f t="shared" si="30"/>
        <v>987</v>
      </c>
      <c r="N62">
        <f t="shared" si="31"/>
        <v>2516</v>
      </c>
      <c r="O62">
        <f t="shared" si="32"/>
        <v>2509</v>
      </c>
      <c r="P62">
        <f t="shared" si="33"/>
        <v>2519</v>
      </c>
      <c r="Q62">
        <f t="shared" si="34"/>
        <v>2572</v>
      </c>
      <c r="R62">
        <f t="shared" si="35"/>
        <v>2531</v>
      </c>
      <c r="S62">
        <f t="shared" si="36"/>
        <v>603</v>
      </c>
      <c r="T62">
        <f t="shared" si="37"/>
        <v>1508</v>
      </c>
      <c r="U62">
        <f t="shared" si="38"/>
        <v>1625</v>
      </c>
      <c r="V62">
        <f t="shared" si="39"/>
        <v>1267</v>
      </c>
      <c r="W62">
        <f t="shared" si="40"/>
        <v>1078</v>
      </c>
      <c r="X62">
        <f t="shared" si="41"/>
        <v>1635</v>
      </c>
    </row>
    <row r="63" spans="1:24" x14ac:dyDescent="0.3">
      <c r="A63" t="s">
        <v>661</v>
      </c>
      <c r="B63" t="s">
        <v>381</v>
      </c>
      <c r="C63">
        <v>1743</v>
      </c>
      <c r="D63">
        <f t="shared" si="21"/>
        <v>1746</v>
      </c>
      <c r="E63">
        <f t="shared" si="22"/>
        <v>1687</v>
      </c>
      <c r="F63">
        <f t="shared" si="23"/>
        <v>1746</v>
      </c>
      <c r="G63">
        <f t="shared" si="24"/>
        <v>1746</v>
      </c>
      <c r="H63">
        <f t="shared" si="25"/>
        <v>1747</v>
      </c>
      <c r="I63">
        <f t="shared" si="26"/>
        <v>1487</v>
      </c>
      <c r="J63">
        <f t="shared" si="27"/>
        <v>1364</v>
      </c>
      <c r="K63">
        <f t="shared" si="28"/>
        <v>1064</v>
      </c>
      <c r="L63">
        <f t="shared" si="29"/>
        <v>1472</v>
      </c>
      <c r="M63">
        <f t="shared" si="30"/>
        <v>988</v>
      </c>
      <c r="N63">
        <f t="shared" si="31"/>
        <v>2517</v>
      </c>
      <c r="O63">
        <f t="shared" si="32"/>
        <v>2510</v>
      </c>
      <c r="P63">
        <f t="shared" si="33"/>
        <v>2520</v>
      </c>
      <c r="Q63">
        <f t="shared" si="34"/>
        <v>2573</v>
      </c>
      <c r="R63">
        <f t="shared" si="35"/>
        <v>2532</v>
      </c>
      <c r="S63">
        <f t="shared" si="36"/>
        <v>604</v>
      </c>
      <c r="T63">
        <f t="shared" si="37"/>
        <v>1509</v>
      </c>
      <c r="U63">
        <f t="shared" si="38"/>
        <v>1626</v>
      </c>
      <c r="V63">
        <f t="shared" si="39"/>
        <v>1268</v>
      </c>
      <c r="W63">
        <f t="shared" si="40"/>
        <v>1079</v>
      </c>
      <c r="X63">
        <f t="shared" si="41"/>
        <v>1636</v>
      </c>
    </row>
    <row r="64" spans="1:24" x14ac:dyDescent="0.3">
      <c r="A64" t="s">
        <v>662</v>
      </c>
      <c r="B64" t="s">
        <v>387</v>
      </c>
      <c r="C64">
        <v>2295</v>
      </c>
      <c r="D64">
        <f t="shared" si="21"/>
        <v>2298</v>
      </c>
      <c r="E64">
        <f t="shared" si="22"/>
        <v>2239</v>
      </c>
      <c r="F64">
        <f t="shared" si="23"/>
        <v>2298</v>
      </c>
      <c r="G64">
        <f t="shared" si="24"/>
        <v>2298</v>
      </c>
      <c r="H64">
        <f t="shared" si="25"/>
        <v>2299</v>
      </c>
      <c r="I64">
        <f t="shared" si="26"/>
        <v>2039</v>
      </c>
      <c r="J64">
        <f t="shared" si="27"/>
        <v>1916</v>
      </c>
      <c r="K64">
        <f t="shared" si="28"/>
        <v>1616</v>
      </c>
      <c r="L64">
        <f t="shared" si="29"/>
        <v>2024</v>
      </c>
      <c r="M64">
        <f t="shared" si="30"/>
        <v>1540</v>
      </c>
      <c r="N64">
        <f t="shared" si="31"/>
        <v>3069</v>
      </c>
      <c r="O64">
        <f t="shared" si="32"/>
        <v>3062</v>
      </c>
      <c r="P64">
        <f t="shared" si="33"/>
        <v>3072</v>
      </c>
      <c r="Q64">
        <f t="shared" si="34"/>
        <v>3125</v>
      </c>
      <c r="R64">
        <f t="shared" si="35"/>
        <v>3084</v>
      </c>
      <c r="S64">
        <f t="shared" si="36"/>
        <v>1156</v>
      </c>
      <c r="T64">
        <f t="shared" si="37"/>
        <v>2061</v>
      </c>
      <c r="U64">
        <f t="shared" si="38"/>
        <v>2178</v>
      </c>
      <c r="V64">
        <f t="shared" si="39"/>
        <v>1820</v>
      </c>
      <c r="W64">
        <f t="shared" si="40"/>
        <v>1631</v>
      </c>
      <c r="X64">
        <f t="shared" si="41"/>
        <v>2188</v>
      </c>
    </row>
    <row r="65" spans="1:24" x14ac:dyDescent="0.3">
      <c r="A65" t="s">
        <v>663</v>
      </c>
      <c r="B65" t="s">
        <v>392</v>
      </c>
      <c r="C65">
        <v>1452</v>
      </c>
      <c r="D65">
        <f t="shared" si="21"/>
        <v>1455</v>
      </c>
      <c r="E65">
        <f t="shared" si="22"/>
        <v>1396</v>
      </c>
      <c r="F65">
        <f t="shared" si="23"/>
        <v>1455</v>
      </c>
      <c r="G65">
        <f t="shared" si="24"/>
        <v>1455</v>
      </c>
      <c r="H65">
        <f t="shared" si="25"/>
        <v>1456</v>
      </c>
      <c r="I65">
        <f t="shared" si="26"/>
        <v>1196</v>
      </c>
      <c r="J65">
        <f t="shared" si="27"/>
        <v>1073</v>
      </c>
      <c r="K65">
        <f t="shared" si="28"/>
        <v>773</v>
      </c>
      <c r="L65">
        <f t="shared" si="29"/>
        <v>1181</v>
      </c>
      <c r="M65">
        <f t="shared" si="30"/>
        <v>697</v>
      </c>
      <c r="N65">
        <f t="shared" si="31"/>
        <v>2226</v>
      </c>
      <c r="O65">
        <f t="shared" si="32"/>
        <v>2219</v>
      </c>
      <c r="P65">
        <f t="shared" si="33"/>
        <v>2229</v>
      </c>
      <c r="Q65">
        <f t="shared" si="34"/>
        <v>2282</v>
      </c>
      <c r="R65">
        <f t="shared" si="35"/>
        <v>2241</v>
      </c>
      <c r="S65">
        <f t="shared" si="36"/>
        <v>313</v>
      </c>
      <c r="T65">
        <f t="shared" si="37"/>
        <v>1218</v>
      </c>
      <c r="U65">
        <f t="shared" si="38"/>
        <v>1335</v>
      </c>
      <c r="V65">
        <f t="shared" si="39"/>
        <v>977</v>
      </c>
      <c r="W65">
        <f t="shared" si="40"/>
        <v>788</v>
      </c>
      <c r="X65">
        <f t="shared" si="41"/>
        <v>1345</v>
      </c>
    </row>
    <row r="66" spans="1:24" x14ac:dyDescent="0.3">
      <c r="A66" t="s">
        <v>664</v>
      </c>
      <c r="B66" t="s">
        <v>397</v>
      </c>
      <c r="C66">
        <v>1451</v>
      </c>
      <c r="D66">
        <f t="shared" si="21"/>
        <v>1454</v>
      </c>
      <c r="E66">
        <f t="shared" si="22"/>
        <v>1395</v>
      </c>
      <c r="F66">
        <f t="shared" si="23"/>
        <v>1454</v>
      </c>
      <c r="G66">
        <f t="shared" si="24"/>
        <v>1454</v>
      </c>
      <c r="H66">
        <f t="shared" si="25"/>
        <v>1455</v>
      </c>
      <c r="I66">
        <f t="shared" si="26"/>
        <v>1195</v>
      </c>
      <c r="J66">
        <f t="shared" si="27"/>
        <v>1072</v>
      </c>
      <c r="K66">
        <f t="shared" si="28"/>
        <v>772</v>
      </c>
      <c r="L66">
        <f t="shared" si="29"/>
        <v>1180</v>
      </c>
      <c r="M66">
        <f t="shared" si="30"/>
        <v>696</v>
      </c>
      <c r="N66">
        <f t="shared" si="31"/>
        <v>2225</v>
      </c>
      <c r="O66">
        <f t="shared" si="32"/>
        <v>2218</v>
      </c>
      <c r="P66">
        <f t="shared" si="33"/>
        <v>2228</v>
      </c>
      <c r="Q66">
        <f t="shared" si="34"/>
        <v>2281</v>
      </c>
      <c r="R66">
        <f t="shared" si="35"/>
        <v>2240</v>
      </c>
      <c r="S66">
        <f t="shared" si="36"/>
        <v>312</v>
      </c>
      <c r="T66">
        <f t="shared" si="37"/>
        <v>1217</v>
      </c>
      <c r="U66">
        <f t="shared" si="38"/>
        <v>1334</v>
      </c>
      <c r="V66">
        <f t="shared" si="39"/>
        <v>976</v>
      </c>
      <c r="W66">
        <f t="shared" si="40"/>
        <v>787</v>
      </c>
      <c r="X66">
        <f t="shared" si="41"/>
        <v>1344</v>
      </c>
    </row>
    <row r="67" spans="1:24" x14ac:dyDescent="0.3">
      <c r="A67" t="s">
        <v>665</v>
      </c>
      <c r="B67" t="s">
        <v>402</v>
      </c>
      <c r="C67">
        <v>2080</v>
      </c>
      <c r="D67">
        <f t="shared" si="21"/>
        <v>2083</v>
      </c>
      <c r="E67">
        <f t="shared" si="22"/>
        <v>2024</v>
      </c>
      <c r="F67">
        <f t="shared" si="23"/>
        <v>2083</v>
      </c>
      <c r="G67">
        <f t="shared" si="24"/>
        <v>2083</v>
      </c>
      <c r="H67">
        <f t="shared" si="25"/>
        <v>2084</v>
      </c>
      <c r="I67">
        <f t="shared" si="26"/>
        <v>1824</v>
      </c>
      <c r="J67">
        <f t="shared" si="27"/>
        <v>1701</v>
      </c>
      <c r="K67">
        <f t="shared" si="28"/>
        <v>1401</v>
      </c>
      <c r="L67">
        <f t="shared" si="29"/>
        <v>1809</v>
      </c>
      <c r="M67">
        <f t="shared" si="30"/>
        <v>1325</v>
      </c>
      <c r="N67">
        <f t="shared" si="31"/>
        <v>2854</v>
      </c>
      <c r="O67">
        <f t="shared" si="32"/>
        <v>2847</v>
      </c>
      <c r="P67">
        <f t="shared" si="33"/>
        <v>2857</v>
      </c>
      <c r="Q67">
        <f t="shared" si="34"/>
        <v>2910</v>
      </c>
      <c r="R67">
        <f t="shared" si="35"/>
        <v>2869</v>
      </c>
      <c r="S67">
        <f t="shared" si="36"/>
        <v>941</v>
      </c>
      <c r="T67">
        <f t="shared" si="37"/>
        <v>1846</v>
      </c>
      <c r="U67">
        <f t="shared" si="38"/>
        <v>1963</v>
      </c>
      <c r="V67">
        <f t="shared" si="39"/>
        <v>1605</v>
      </c>
      <c r="W67">
        <f t="shared" si="40"/>
        <v>1416</v>
      </c>
      <c r="X67">
        <f t="shared" si="41"/>
        <v>1973</v>
      </c>
    </row>
    <row r="68" spans="1:24" x14ac:dyDescent="0.3">
      <c r="A68" t="s">
        <v>666</v>
      </c>
      <c r="B68" t="s">
        <v>406</v>
      </c>
      <c r="C68">
        <v>1885</v>
      </c>
      <c r="D68">
        <f t="shared" si="21"/>
        <v>1888</v>
      </c>
      <c r="E68">
        <f t="shared" si="22"/>
        <v>1829</v>
      </c>
      <c r="F68">
        <f t="shared" si="23"/>
        <v>1888</v>
      </c>
      <c r="G68">
        <f t="shared" si="24"/>
        <v>1888</v>
      </c>
      <c r="H68">
        <f t="shared" si="25"/>
        <v>1889</v>
      </c>
      <c r="I68">
        <f t="shared" si="26"/>
        <v>1629</v>
      </c>
      <c r="J68">
        <f t="shared" si="27"/>
        <v>1506</v>
      </c>
      <c r="K68">
        <f t="shared" si="28"/>
        <v>1206</v>
      </c>
      <c r="L68">
        <f t="shared" si="29"/>
        <v>1614</v>
      </c>
      <c r="M68">
        <f t="shared" si="30"/>
        <v>1130</v>
      </c>
      <c r="N68">
        <f t="shared" si="31"/>
        <v>2659</v>
      </c>
      <c r="O68">
        <f t="shared" si="32"/>
        <v>2652</v>
      </c>
      <c r="P68">
        <f t="shared" si="33"/>
        <v>2662</v>
      </c>
      <c r="Q68">
        <f t="shared" si="34"/>
        <v>2715</v>
      </c>
      <c r="R68">
        <f t="shared" si="35"/>
        <v>2674</v>
      </c>
      <c r="S68">
        <f t="shared" si="36"/>
        <v>746</v>
      </c>
      <c r="T68">
        <f t="shared" si="37"/>
        <v>1651</v>
      </c>
      <c r="U68">
        <f t="shared" si="38"/>
        <v>1768</v>
      </c>
      <c r="V68">
        <f t="shared" si="39"/>
        <v>1410</v>
      </c>
      <c r="W68">
        <f t="shared" si="40"/>
        <v>1221</v>
      </c>
      <c r="X68">
        <f t="shared" si="41"/>
        <v>1778</v>
      </c>
    </row>
    <row r="69" spans="1:24" x14ac:dyDescent="0.3">
      <c r="A69" t="s">
        <v>667</v>
      </c>
      <c r="B69" t="s">
        <v>411</v>
      </c>
      <c r="C69">
        <v>1710</v>
      </c>
      <c r="D69">
        <f t="shared" si="21"/>
        <v>1713</v>
      </c>
      <c r="E69">
        <f t="shared" si="22"/>
        <v>1654</v>
      </c>
      <c r="F69">
        <f t="shared" si="23"/>
        <v>1713</v>
      </c>
      <c r="G69">
        <f t="shared" si="24"/>
        <v>1713</v>
      </c>
      <c r="H69">
        <f t="shared" si="25"/>
        <v>1714</v>
      </c>
      <c r="I69">
        <f t="shared" si="26"/>
        <v>1454</v>
      </c>
      <c r="J69">
        <f t="shared" si="27"/>
        <v>1331</v>
      </c>
      <c r="K69">
        <f t="shared" si="28"/>
        <v>1031</v>
      </c>
      <c r="L69">
        <f t="shared" si="29"/>
        <v>1439</v>
      </c>
      <c r="M69">
        <f t="shared" si="30"/>
        <v>955</v>
      </c>
      <c r="N69">
        <f t="shared" si="31"/>
        <v>2484</v>
      </c>
      <c r="O69">
        <f t="shared" si="32"/>
        <v>2477</v>
      </c>
      <c r="P69">
        <f t="shared" si="33"/>
        <v>2487</v>
      </c>
      <c r="Q69">
        <f t="shared" si="34"/>
        <v>2540</v>
      </c>
      <c r="R69">
        <f t="shared" si="35"/>
        <v>2499</v>
      </c>
      <c r="S69">
        <f t="shared" si="36"/>
        <v>571</v>
      </c>
      <c r="T69">
        <f t="shared" si="37"/>
        <v>1476</v>
      </c>
      <c r="U69">
        <f t="shared" si="38"/>
        <v>1593</v>
      </c>
      <c r="V69">
        <f t="shared" si="39"/>
        <v>1235</v>
      </c>
      <c r="W69">
        <f t="shared" si="40"/>
        <v>1046</v>
      </c>
      <c r="X69">
        <f t="shared" si="41"/>
        <v>1603</v>
      </c>
    </row>
    <row r="70" spans="1:24" x14ac:dyDescent="0.3">
      <c r="A70" t="s">
        <v>668</v>
      </c>
      <c r="B70" t="s">
        <v>417</v>
      </c>
      <c r="C70">
        <v>1560</v>
      </c>
      <c r="D70">
        <f t="shared" si="21"/>
        <v>1563</v>
      </c>
      <c r="E70">
        <f t="shared" si="22"/>
        <v>1504</v>
      </c>
      <c r="F70">
        <f t="shared" si="23"/>
        <v>1563</v>
      </c>
      <c r="G70">
        <f t="shared" si="24"/>
        <v>1563</v>
      </c>
      <c r="H70">
        <f t="shared" si="25"/>
        <v>1564</v>
      </c>
      <c r="I70">
        <f t="shared" si="26"/>
        <v>1304</v>
      </c>
      <c r="J70">
        <f t="shared" si="27"/>
        <v>1181</v>
      </c>
      <c r="K70">
        <f t="shared" si="28"/>
        <v>881</v>
      </c>
      <c r="L70">
        <f t="shared" si="29"/>
        <v>1289</v>
      </c>
      <c r="M70">
        <f t="shared" si="30"/>
        <v>805</v>
      </c>
      <c r="N70">
        <f t="shared" si="31"/>
        <v>2334</v>
      </c>
      <c r="O70">
        <f t="shared" si="32"/>
        <v>2327</v>
      </c>
      <c r="P70">
        <f t="shared" si="33"/>
        <v>2337</v>
      </c>
      <c r="Q70">
        <f t="shared" si="34"/>
        <v>2390</v>
      </c>
      <c r="R70">
        <f t="shared" si="35"/>
        <v>2349</v>
      </c>
      <c r="S70">
        <f t="shared" si="36"/>
        <v>421</v>
      </c>
      <c r="T70">
        <f t="shared" si="37"/>
        <v>1326</v>
      </c>
      <c r="U70">
        <f t="shared" si="38"/>
        <v>1443</v>
      </c>
      <c r="V70">
        <f t="shared" si="39"/>
        <v>1085</v>
      </c>
      <c r="W70">
        <f t="shared" si="40"/>
        <v>896</v>
      </c>
      <c r="X70">
        <f t="shared" si="41"/>
        <v>1453</v>
      </c>
    </row>
    <row r="71" spans="1:24" x14ac:dyDescent="0.3">
      <c r="A71" t="s">
        <v>669</v>
      </c>
      <c r="B71" t="s">
        <v>421</v>
      </c>
      <c r="C71">
        <v>1032</v>
      </c>
      <c r="D71">
        <f t="shared" si="21"/>
        <v>1035</v>
      </c>
      <c r="E71">
        <v>1078</v>
      </c>
      <c r="F71">
        <f t="shared" si="23"/>
        <v>1035</v>
      </c>
      <c r="G71">
        <f t="shared" si="24"/>
        <v>1035</v>
      </c>
      <c r="H71">
        <f t="shared" si="25"/>
        <v>1036</v>
      </c>
      <c r="I71">
        <v>468</v>
      </c>
      <c r="J71">
        <v>453</v>
      </c>
      <c r="K71">
        <v>807</v>
      </c>
      <c r="L71">
        <v>683</v>
      </c>
      <c r="M71">
        <v>771</v>
      </c>
      <c r="N71">
        <v>1953</v>
      </c>
      <c r="O71">
        <v>1945</v>
      </c>
      <c r="P71">
        <f t="shared" si="33"/>
        <v>1955</v>
      </c>
      <c r="Q71">
        <f t="shared" si="34"/>
        <v>2008</v>
      </c>
      <c r="R71">
        <f t="shared" si="35"/>
        <v>1967</v>
      </c>
      <c r="S71">
        <v>334</v>
      </c>
      <c r="T71">
        <v>516</v>
      </c>
      <c r="U71">
        <v>352</v>
      </c>
      <c r="V71">
        <v>275</v>
      </c>
      <c r="W71">
        <v>62</v>
      </c>
      <c r="X71">
        <v>643</v>
      </c>
    </row>
    <row r="72" spans="1:24" x14ac:dyDescent="0.3">
      <c r="A72" t="s">
        <v>670</v>
      </c>
      <c r="B72" t="s">
        <v>430</v>
      </c>
      <c r="C72">
        <f>D72-3</f>
        <v>575</v>
      </c>
      <c r="D72">
        <v>578</v>
      </c>
      <c r="E72">
        <f>D72+43</f>
        <v>621</v>
      </c>
      <c r="F72">
        <f>D72</f>
        <v>578</v>
      </c>
      <c r="G72">
        <f>F72</f>
        <v>578</v>
      </c>
      <c r="H72">
        <f>G72+1</f>
        <v>579</v>
      </c>
      <c r="I72">
        <v>634</v>
      </c>
      <c r="J72">
        <f>I72-15</f>
        <v>619</v>
      </c>
      <c r="K72">
        <f>J72+354</f>
        <v>973</v>
      </c>
      <c r="L72">
        <f>K72-124</f>
        <v>849</v>
      </c>
      <c r="M72">
        <f>L72+88</f>
        <v>937</v>
      </c>
      <c r="N72">
        <f>M72+1182</f>
        <v>2119</v>
      </c>
      <c r="O72">
        <f>N72-8</f>
        <v>2111</v>
      </c>
      <c r="P72">
        <f t="shared" si="33"/>
        <v>2121</v>
      </c>
      <c r="Q72">
        <f t="shared" si="34"/>
        <v>2174</v>
      </c>
      <c r="R72">
        <f t="shared" si="35"/>
        <v>2133</v>
      </c>
      <c r="S72">
        <f>R72-1633</f>
        <v>500</v>
      </c>
      <c r="T72">
        <f>S72+182</f>
        <v>682</v>
      </c>
      <c r="U72">
        <f>T72-164</f>
        <v>518</v>
      </c>
      <c r="V72">
        <f>U72-77</f>
        <v>441</v>
      </c>
      <c r="W72">
        <v>420</v>
      </c>
      <c r="X72">
        <v>236</v>
      </c>
    </row>
    <row r="73" spans="1:24" x14ac:dyDescent="0.3">
      <c r="A73" t="s">
        <v>671</v>
      </c>
      <c r="B73" t="s">
        <v>436</v>
      </c>
      <c r="C73">
        <f t="shared" ref="C73:C74" si="42">D73-3</f>
        <v>582</v>
      </c>
      <c r="D73">
        <v>585</v>
      </c>
      <c r="E73">
        <f t="shared" ref="E73:E74" si="43">D73+43</f>
        <v>628</v>
      </c>
      <c r="F73">
        <f>D73</f>
        <v>585</v>
      </c>
      <c r="G73">
        <f>F73</f>
        <v>585</v>
      </c>
      <c r="H73">
        <f>G73+1</f>
        <v>586</v>
      </c>
      <c r="I73">
        <v>621</v>
      </c>
      <c r="J73">
        <f t="shared" ref="J73" si="44">I73-15</f>
        <v>606</v>
      </c>
      <c r="K73">
        <f t="shared" ref="K73" si="45">J73+354</f>
        <v>960</v>
      </c>
      <c r="L73">
        <f t="shared" ref="L73" si="46">K73-124</f>
        <v>836</v>
      </c>
      <c r="M73">
        <f t="shared" ref="M73" si="47">L73+88</f>
        <v>924</v>
      </c>
      <c r="N73">
        <f t="shared" ref="N73" si="48">M73+1182</f>
        <v>2106</v>
      </c>
      <c r="O73">
        <f>N73-8</f>
        <v>2098</v>
      </c>
      <c r="P73">
        <f t="shared" si="33"/>
        <v>2108</v>
      </c>
      <c r="Q73">
        <f t="shared" si="34"/>
        <v>2161</v>
      </c>
      <c r="R73">
        <f t="shared" si="35"/>
        <v>2120</v>
      </c>
      <c r="S73">
        <f t="shared" ref="S73:S74" si="49">R73-1633</f>
        <v>487</v>
      </c>
      <c r="T73">
        <f t="shared" ref="T73:T74" si="50">S73+182</f>
        <v>669</v>
      </c>
      <c r="U73">
        <f t="shared" ref="U73:U74" si="51">T73-164</f>
        <v>505</v>
      </c>
      <c r="V73">
        <v>428</v>
      </c>
      <c r="W73">
        <v>407</v>
      </c>
      <c r="X73">
        <v>243</v>
      </c>
    </row>
    <row r="74" spans="1:24" x14ac:dyDescent="0.3">
      <c r="A74" t="s">
        <v>672</v>
      </c>
      <c r="B74" t="s">
        <v>443</v>
      </c>
      <c r="C74">
        <f t="shared" si="42"/>
        <v>736</v>
      </c>
      <c r="D74">
        <v>739</v>
      </c>
      <c r="E74">
        <f t="shared" si="43"/>
        <v>782</v>
      </c>
      <c r="F74">
        <f>D74</f>
        <v>739</v>
      </c>
      <c r="G74">
        <f>F74</f>
        <v>739</v>
      </c>
      <c r="H74">
        <f>G74+1</f>
        <v>740</v>
      </c>
      <c r="I74">
        <v>71</v>
      </c>
      <c r="J74">
        <v>260</v>
      </c>
      <c r="K74">
        <v>509</v>
      </c>
      <c r="L74">
        <v>523</v>
      </c>
      <c r="M74">
        <v>496</v>
      </c>
      <c r="N74">
        <v>1826</v>
      </c>
      <c r="O74">
        <f>N74-8</f>
        <v>1818</v>
      </c>
      <c r="P74">
        <f t="shared" si="33"/>
        <v>1828</v>
      </c>
      <c r="Q74">
        <f t="shared" si="34"/>
        <v>1881</v>
      </c>
      <c r="R74">
        <f t="shared" si="35"/>
        <v>1840</v>
      </c>
      <c r="S74">
        <f t="shared" si="49"/>
        <v>207</v>
      </c>
      <c r="T74">
        <f t="shared" si="50"/>
        <v>389</v>
      </c>
      <c r="U74">
        <f t="shared" si="51"/>
        <v>225</v>
      </c>
      <c r="V74">
        <f t="shared" ref="V74" si="52">U74-77</f>
        <v>148</v>
      </c>
      <c r="W74">
        <v>394</v>
      </c>
      <c r="X74">
        <v>277</v>
      </c>
    </row>
    <row r="75" spans="1:24" x14ac:dyDescent="0.3">
      <c r="A75" t="s">
        <v>673</v>
      </c>
      <c r="B75" t="s">
        <v>449</v>
      </c>
      <c r="C75">
        <v>979</v>
      </c>
      <c r="D75">
        <v>777</v>
      </c>
      <c r="E75">
        <v>820</v>
      </c>
      <c r="F75">
        <f>D75</f>
        <v>777</v>
      </c>
      <c r="G75">
        <f>F75</f>
        <v>777</v>
      </c>
      <c r="H75">
        <v>1004</v>
      </c>
      <c r="I75">
        <v>43.5</v>
      </c>
      <c r="J75">
        <v>261</v>
      </c>
      <c r="K75">
        <v>449</v>
      </c>
      <c r="L75">
        <v>463</v>
      </c>
      <c r="M75">
        <v>436</v>
      </c>
      <c r="N75">
        <v>1766</v>
      </c>
      <c r="O75">
        <v>1759</v>
      </c>
      <c r="P75">
        <f t="shared" si="33"/>
        <v>1769</v>
      </c>
      <c r="Q75">
        <f t="shared" si="34"/>
        <v>1822</v>
      </c>
      <c r="R75">
        <f t="shared" si="35"/>
        <v>1781</v>
      </c>
      <c r="S75">
        <v>173</v>
      </c>
      <c r="T75">
        <v>48</v>
      </c>
      <c r="U75">
        <v>279</v>
      </c>
      <c r="V75">
        <v>271</v>
      </c>
      <c r="W75">
        <v>478</v>
      </c>
      <c r="X75">
        <v>315</v>
      </c>
    </row>
    <row r="76" spans="1:24" x14ac:dyDescent="0.3">
      <c r="A76" t="s">
        <v>674</v>
      </c>
      <c r="B76" t="s">
        <v>456</v>
      </c>
      <c r="C76">
        <v>1140</v>
      </c>
      <c r="D76">
        <v>1205</v>
      </c>
      <c r="E76">
        <f>D76+43</f>
        <v>1248</v>
      </c>
      <c r="F76">
        <f>D76</f>
        <v>1205</v>
      </c>
      <c r="G76">
        <f>F76</f>
        <v>1205</v>
      </c>
      <c r="H76">
        <f>G76+227</f>
        <v>1432</v>
      </c>
      <c r="I76">
        <v>273</v>
      </c>
      <c r="J76">
        <v>202</v>
      </c>
      <c r="K76">
        <v>263</v>
      </c>
      <c r="L76">
        <v>215</v>
      </c>
      <c r="M76">
        <v>179</v>
      </c>
      <c r="N76">
        <v>1518</v>
      </c>
      <c r="O76">
        <v>1511</v>
      </c>
      <c r="P76">
        <f t="shared" si="33"/>
        <v>1521</v>
      </c>
      <c r="Q76">
        <f t="shared" si="34"/>
        <v>1574</v>
      </c>
      <c r="R76">
        <f t="shared" si="35"/>
        <v>1533</v>
      </c>
      <c r="S76">
        <v>348</v>
      </c>
      <c r="T76">
        <v>303</v>
      </c>
      <c r="U76">
        <v>474</v>
      </c>
      <c r="V76">
        <v>394</v>
      </c>
      <c r="W76">
        <v>551</v>
      </c>
      <c r="X76">
        <v>579</v>
      </c>
    </row>
    <row r="77" spans="1:24" x14ac:dyDescent="0.3">
      <c r="A77" t="s">
        <v>675</v>
      </c>
      <c r="B77" t="s">
        <v>460</v>
      </c>
      <c r="C77">
        <v>1128</v>
      </c>
      <c r="D77">
        <v>1193</v>
      </c>
      <c r="E77">
        <f t="shared" ref="E77:E78" si="53">D77+43</f>
        <v>1236</v>
      </c>
      <c r="F77">
        <f t="shared" ref="F77:F78" si="54">D77</f>
        <v>1193</v>
      </c>
      <c r="G77">
        <f t="shared" ref="G77:G78" si="55">F77</f>
        <v>1193</v>
      </c>
      <c r="H77">
        <f t="shared" ref="H77:H78" si="56">G77+227</f>
        <v>1420</v>
      </c>
      <c r="P77">
        <f t="shared" si="33"/>
        <v>10</v>
      </c>
      <c r="Q77">
        <f t="shared" si="34"/>
        <v>63</v>
      </c>
      <c r="R77">
        <f t="shared" si="35"/>
        <v>22</v>
      </c>
    </row>
    <row r="78" spans="1:24" x14ac:dyDescent="0.3">
      <c r="A78" t="s">
        <v>676</v>
      </c>
      <c r="B78" t="s">
        <v>739</v>
      </c>
      <c r="C78">
        <f>D78-65</f>
        <v>1025</v>
      </c>
      <c r="D78">
        <v>1090</v>
      </c>
      <c r="E78">
        <f t="shared" si="53"/>
        <v>1133</v>
      </c>
      <c r="F78">
        <f t="shared" si="54"/>
        <v>1090</v>
      </c>
      <c r="G78">
        <f t="shared" si="55"/>
        <v>1090</v>
      </c>
      <c r="H78">
        <f t="shared" si="56"/>
        <v>1317</v>
      </c>
      <c r="P78">
        <f t="shared" si="33"/>
        <v>10</v>
      </c>
      <c r="Q78">
        <f t="shared" si="34"/>
        <v>63</v>
      </c>
      <c r="R78">
        <f t="shared" si="35"/>
        <v>22</v>
      </c>
    </row>
    <row r="79" spans="1:24" x14ac:dyDescent="0.3">
      <c r="A79" t="s">
        <v>677</v>
      </c>
      <c r="B79" t="s">
        <v>472</v>
      </c>
      <c r="P79">
        <f t="shared" si="33"/>
        <v>10</v>
      </c>
      <c r="Q79">
        <f t="shared" si="34"/>
        <v>63</v>
      </c>
      <c r="R79">
        <f t="shared" si="35"/>
        <v>22</v>
      </c>
    </row>
    <row r="80" spans="1:24" x14ac:dyDescent="0.3">
      <c r="A80" t="s">
        <v>678</v>
      </c>
      <c r="B80" t="s">
        <v>478</v>
      </c>
      <c r="P80">
        <f t="shared" si="33"/>
        <v>10</v>
      </c>
      <c r="Q80">
        <f t="shared" si="34"/>
        <v>63</v>
      </c>
      <c r="R80">
        <f t="shared" si="35"/>
        <v>22</v>
      </c>
    </row>
    <row r="81" spans="1:18" x14ac:dyDescent="0.3">
      <c r="A81" t="s">
        <v>679</v>
      </c>
      <c r="B81" t="s">
        <v>482</v>
      </c>
      <c r="P81">
        <f t="shared" si="33"/>
        <v>10</v>
      </c>
      <c r="Q81">
        <f t="shared" si="34"/>
        <v>63</v>
      </c>
      <c r="R81">
        <f t="shared" si="35"/>
        <v>22</v>
      </c>
    </row>
    <row r="82" spans="1:18" x14ac:dyDescent="0.3">
      <c r="A82" t="s">
        <v>680</v>
      </c>
      <c r="B82" t="s">
        <v>482</v>
      </c>
      <c r="P82">
        <f t="shared" si="33"/>
        <v>10</v>
      </c>
      <c r="Q82">
        <f t="shared" si="34"/>
        <v>63</v>
      </c>
      <c r="R82">
        <f t="shared" si="35"/>
        <v>22</v>
      </c>
    </row>
    <row r="83" spans="1:18" x14ac:dyDescent="0.3">
      <c r="A83" t="s">
        <v>681</v>
      </c>
      <c r="B83" t="s">
        <v>493</v>
      </c>
      <c r="P83">
        <f t="shared" si="33"/>
        <v>10</v>
      </c>
      <c r="Q83">
        <f t="shared" si="34"/>
        <v>63</v>
      </c>
      <c r="R83">
        <f t="shared" si="35"/>
        <v>22</v>
      </c>
    </row>
    <row r="84" spans="1:18" x14ac:dyDescent="0.3">
      <c r="A84" t="s">
        <v>682</v>
      </c>
      <c r="B84" t="s">
        <v>498</v>
      </c>
      <c r="P84">
        <f t="shared" si="33"/>
        <v>10</v>
      </c>
      <c r="Q84">
        <f t="shared" si="34"/>
        <v>63</v>
      </c>
      <c r="R84">
        <f t="shared" si="35"/>
        <v>22</v>
      </c>
    </row>
    <row r="85" spans="1:18" x14ac:dyDescent="0.3">
      <c r="A85" t="s">
        <v>683</v>
      </c>
      <c r="B85" t="s">
        <v>504</v>
      </c>
      <c r="P85">
        <f t="shared" si="33"/>
        <v>10</v>
      </c>
      <c r="Q85">
        <f t="shared" si="34"/>
        <v>63</v>
      </c>
      <c r="R85">
        <f t="shared" si="35"/>
        <v>22</v>
      </c>
    </row>
    <row r="86" spans="1:18" x14ac:dyDescent="0.3">
      <c r="A86" t="s">
        <v>684</v>
      </c>
      <c r="B86" t="s">
        <v>510</v>
      </c>
      <c r="P86">
        <f t="shared" si="33"/>
        <v>10</v>
      </c>
      <c r="Q86">
        <f t="shared" si="34"/>
        <v>63</v>
      </c>
      <c r="R86">
        <f t="shared" si="35"/>
        <v>22</v>
      </c>
    </row>
    <row r="87" spans="1:18" x14ac:dyDescent="0.3">
      <c r="A87" t="s">
        <v>685</v>
      </c>
      <c r="B87" t="s">
        <v>515</v>
      </c>
      <c r="P87">
        <f t="shared" si="33"/>
        <v>10</v>
      </c>
      <c r="Q87">
        <f t="shared" si="34"/>
        <v>63</v>
      </c>
      <c r="R87">
        <f t="shared" si="35"/>
        <v>22</v>
      </c>
    </row>
    <row r="88" spans="1:18" x14ac:dyDescent="0.3">
      <c r="A88" t="s">
        <v>686</v>
      </c>
      <c r="B88" t="s">
        <v>743</v>
      </c>
      <c r="P88">
        <f t="shared" si="33"/>
        <v>10</v>
      </c>
      <c r="Q88">
        <f t="shared" si="34"/>
        <v>63</v>
      </c>
      <c r="R88">
        <f t="shared" si="35"/>
        <v>22</v>
      </c>
    </row>
    <row r="89" spans="1:18" x14ac:dyDescent="0.3">
      <c r="A89" t="s">
        <v>687</v>
      </c>
      <c r="B89" t="s">
        <v>526</v>
      </c>
      <c r="P89">
        <f t="shared" ref="P89:P93" si="57">O89+10</f>
        <v>10</v>
      </c>
      <c r="Q89">
        <f t="shared" ref="Q89:Q93" si="58">P89+53</f>
        <v>63</v>
      </c>
      <c r="R89">
        <f t="shared" ref="R89:R93" si="59">Q89-41</f>
        <v>22</v>
      </c>
    </row>
    <row r="90" spans="1:18" x14ac:dyDescent="0.3">
      <c r="A90" t="s">
        <v>688</v>
      </c>
      <c r="B90" t="s">
        <v>532</v>
      </c>
      <c r="P90">
        <f t="shared" si="57"/>
        <v>10</v>
      </c>
      <c r="Q90">
        <f t="shared" si="58"/>
        <v>63</v>
      </c>
      <c r="R90">
        <f t="shared" si="59"/>
        <v>22</v>
      </c>
    </row>
    <row r="91" spans="1:18" x14ac:dyDescent="0.3">
      <c r="A91" t="s">
        <v>689</v>
      </c>
      <c r="B91" t="s">
        <v>539</v>
      </c>
      <c r="P91">
        <f t="shared" si="57"/>
        <v>10</v>
      </c>
      <c r="Q91">
        <f t="shared" si="58"/>
        <v>63</v>
      </c>
      <c r="R91">
        <f t="shared" si="59"/>
        <v>22</v>
      </c>
    </row>
    <row r="92" spans="1:18" x14ac:dyDescent="0.3">
      <c r="A92" t="s">
        <v>690</v>
      </c>
      <c r="B92" t="s">
        <v>546</v>
      </c>
      <c r="P92">
        <f t="shared" si="57"/>
        <v>10</v>
      </c>
      <c r="Q92">
        <f t="shared" si="58"/>
        <v>63</v>
      </c>
      <c r="R92">
        <f t="shared" si="59"/>
        <v>22</v>
      </c>
    </row>
    <row r="93" spans="1:18" x14ac:dyDescent="0.3">
      <c r="A93" t="s">
        <v>691</v>
      </c>
      <c r="B93" t="s">
        <v>552</v>
      </c>
      <c r="P93">
        <f t="shared" si="57"/>
        <v>10</v>
      </c>
      <c r="Q93">
        <f t="shared" si="58"/>
        <v>63</v>
      </c>
      <c r="R93">
        <f t="shared" si="59"/>
        <v>22</v>
      </c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3AA9-B7A5-4984-B169-C1D17F6058D6}">
  <dimension ref="A1:I23"/>
  <sheetViews>
    <sheetView workbookViewId="0">
      <selection activeCell="A2" sqref="A2:XFD2"/>
    </sheetView>
  </sheetViews>
  <sheetFormatPr defaultRowHeight="14.4" x14ac:dyDescent="0.3"/>
  <cols>
    <col min="2" max="2" width="17.33203125" bestFit="1" customWidth="1"/>
    <col min="7" max="7" width="16.33203125" style="1" bestFit="1" customWidth="1"/>
  </cols>
  <sheetData>
    <row r="1" spans="1:9" x14ac:dyDescent="0.3">
      <c r="A1" t="s">
        <v>577</v>
      </c>
      <c r="B1" t="s">
        <v>562</v>
      </c>
      <c r="C1">
        <v>20</v>
      </c>
      <c r="D1">
        <v>111</v>
      </c>
      <c r="F1">
        <f t="shared" ref="F1:F23" si="0">E1+D1+C1</f>
        <v>131</v>
      </c>
      <c r="G1" s="1">
        <f t="shared" ref="G1:G23" si="1">F1*$I$1</f>
        <v>131000000</v>
      </c>
      <c r="I1">
        <v>1000000</v>
      </c>
    </row>
    <row r="2" spans="1:9" x14ac:dyDescent="0.3">
      <c r="A2" t="s">
        <v>578</v>
      </c>
      <c r="B2" t="s">
        <v>576</v>
      </c>
      <c r="C2">
        <v>199</v>
      </c>
      <c r="F2">
        <f t="shared" si="0"/>
        <v>199</v>
      </c>
      <c r="G2" s="1">
        <f t="shared" si="1"/>
        <v>199000000</v>
      </c>
    </row>
    <row r="3" spans="1:9" x14ac:dyDescent="0.3">
      <c r="A3" t="s">
        <v>579</v>
      </c>
      <c r="B3" t="s">
        <v>568</v>
      </c>
      <c r="C3">
        <v>197</v>
      </c>
      <c r="F3">
        <f t="shared" si="0"/>
        <v>197</v>
      </c>
      <c r="G3" s="1">
        <f t="shared" si="1"/>
        <v>197000000</v>
      </c>
    </row>
    <row r="4" spans="1:9" x14ac:dyDescent="0.3">
      <c r="A4" t="s">
        <v>580</v>
      </c>
      <c r="B4" t="s">
        <v>557</v>
      </c>
      <c r="C4">
        <v>2100</v>
      </c>
      <c r="D4">
        <v>3</v>
      </c>
      <c r="E4">
        <v>17</v>
      </c>
      <c r="F4">
        <f t="shared" si="0"/>
        <v>2120</v>
      </c>
      <c r="G4" s="1">
        <f t="shared" si="1"/>
        <v>2120000000</v>
      </c>
    </row>
    <row r="5" spans="1:9" x14ac:dyDescent="0.3">
      <c r="A5" t="s">
        <v>581</v>
      </c>
      <c r="B5" t="s">
        <v>564</v>
      </c>
      <c r="C5">
        <v>2710</v>
      </c>
      <c r="D5">
        <v>189</v>
      </c>
      <c r="F5">
        <f t="shared" si="0"/>
        <v>2899</v>
      </c>
      <c r="G5" s="1">
        <f t="shared" si="1"/>
        <v>2899000000</v>
      </c>
    </row>
    <row r="6" spans="1:9" x14ac:dyDescent="0.3">
      <c r="A6" t="s">
        <v>582</v>
      </c>
      <c r="B6" t="s">
        <v>555</v>
      </c>
      <c r="C6">
        <v>766</v>
      </c>
      <c r="D6">
        <v>33</v>
      </c>
      <c r="E6">
        <v>54</v>
      </c>
      <c r="F6">
        <f t="shared" si="0"/>
        <v>853</v>
      </c>
      <c r="G6" s="1">
        <f t="shared" si="1"/>
        <v>853000000</v>
      </c>
    </row>
    <row r="7" spans="1:9" x14ac:dyDescent="0.3">
      <c r="A7" t="s">
        <v>583</v>
      </c>
      <c r="B7" t="s">
        <v>574</v>
      </c>
      <c r="C7">
        <v>2553</v>
      </c>
      <c r="D7">
        <v>203</v>
      </c>
      <c r="F7">
        <f t="shared" si="0"/>
        <v>2756</v>
      </c>
      <c r="G7" s="1">
        <f t="shared" si="1"/>
        <v>2756000000</v>
      </c>
    </row>
    <row r="8" spans="1:9" x14ac:dyDescent="0.3">
      <c r="A8" t="s">
        <v>584</v>
      </c>
      <c r="B8" t="s">
        <v>571</v>
      </c>
      <c r="C8">
        <v>7922</v>
      </c>
      <c r="D8">
        <v>770</v>
      </c>
      <c r="F8">
        <f t="shared" si="0"/>
        <v>8692</v>
      </c>
      <c r="G8" s="1">
        <f t="shared" si="1"/>
        <v>8692000000</v>
      </c>
    </row>
    <row r="9" spans="1:9" x14ac:dyDescent="0.3">
      <c r="A9" t="s">
        <v>585</v>
      </c>
      <c r="B9" t="s">
        <v>563</v>
      </c>
      <c r="C9">
        <v>390</v>
      </c>
      <c r="F9">
        <f t="shared" si="0"/>
        <v>390</v>
      </c>
      <c r="G9" s="1">
        <f t="shared" si="1"/>
        <v>390000000</v>
      </c>
    </row>
    <row r="10" spans="1:9" x14ac:dyDescent="0.3">
      <c r="A10" t="s">
        <v>586</v>
      </c>
      <c r="B10" t="s">
        <v>569</v>
      </c>
      <c r="C10">
        <v>14900</v>
      </c>
      <c r="D10">
        <v>2180</v>
      </c>
      <c r="F10">
        <f t="shared" si="0"/>
        <v>17080</v>
      </c>
      <c r="G10" s="1">
        <f t="shared" si="1"/>
        <v>17080000000</v>
      </c>
    </row>
    <row r="11" spans="1:9" x14ac:dyDescent="0.3">
      <c r="A11" t="s">
        <v>587</v>
      </c>
      <c r="B11" t="s">
        <v>572</v>
      </c>
      <c r="C11">
        <v>184</v>
      </c>
      <c r="D11">
        <v>70</v>
      </c>
      <c r="F11">
        <f t="shared" si="0"/>
        <v>254</v>
      </c>
      <c r="G11" s="1">
        <f t="shared" si="1"/>
        <v>254000000</v>
      </c>
    </row>
    <row r="12" spans="1:9" x14ac:dyDescent="0.3">
      <c r="A12" t="s">
        <v>588</v>
      </c>
      <c r="B12" t="s">
        <v>556</v>
      </c>
      <c r="C12">
        <v>140</v>
      </c>
      <c r="D12">
        <v>389</v>
      </c>
      <c r="E12">
        <v>87</v>
      </c>
      <c r="F12">
        <f t="shared" si="0"/>
        <v>616</v>
      </c>
      <c r="G12" s="1">
        <f t="shared" si="1"/>
        <v>616000000</v>
      </c>
    </row>
    <row r="13" spans="1:9" x14ac:dyDescent="0.3">
      <c r="A13" t="s">
        <v>589</v>
      </c>
      <c r="B13" t="s">
        <v>566</v>
      </c>
      <c r="C13">
        <v>4669</v>
      </c>
      <c r="D13">
        <v>1810</v>
      </c>
      <c r="E13">
        <v>71</v>
      </c>
      <c r="F13">
        <f t="shared" si="0"/>
        <v>6550</v>
      </c>
      <c r="G13" s="1">
        <f t="shared" si="1"/>
        <v>6550000000</v>
      </c>
    </row>
    <row r="14" spans="1:9" x14ac:dyDescent="0.3">
      <c r="A14" t="s">
        <v>590</v>
      </c>
      <c r="B14" t="s">
        <v>559</v>
      </c>
      <c r="C14">
        <v>404</v>
      </c>
      <c r="F14">
        <f t="shared" si="0"/>
        <v>404</v>
      </c>
      <c r="G14" s="1">
        <f t="shared" si="1"/>
        <v>404000000</v>
      </c>
    </row>
    <row r="15" spans="1:9" x14ac:dyDescent="0.3">
      <c r="A15" t="s">
        <v>591</v>
      </c>
      <c r="B15" t="s">
        <v>560</v>
      </c>
      <c r="C15">
        <v>30</v>
      </c>
      <c r="D15">
        <v>7</v>
      </c>
      <c r="F15">
        <f t="shared" si="0"/>
        <v>37</v>
      </c>
      <c r="G15" s="1">
        <f t="shared" si="1"/>
        <v>37000000</v>
      </c>
    </row>
    <row r="16" spans="1:9" x14ac:dyDescent="0.3">
      <c r="A16" t="s">
        <v>592</v>
      </c>
      <c r="B16" t="s">
        <v>570</v>
      </c>
      <c r="C16">
        <v>340</v>
      </c>
      <c r="D16">
        <v>1700</v>
      </c>
      <c r="E16">
        <v>300</v>
      </c>
      <c r="F16">
        <f t="shared" si="0"/>
        <v>2340</v>
      </c>
      <c r="G16" s="1">
        <f t="shared" si="1"/>
        <v>2340000000</v>
      </c>
    </row>
    <row r="17" spans="1:7" x14ac:dyDescent="0.3">
      <c r="A17" t="s">
        <v>593</v>
      </c>
      <c r="B17" t="s">
        <v>575</v>
      </c>
      <c r="C17">
        <v>26031</v>
      </c>
      <c r="D17">
        <v>3157</v>
      </c>
      <c r="F17">
        <f t="shared" si="0"/>
        <v>29188</v>
      </c>
      <c r="G17" s="1">
        <f t="shared" si="1"/>
        <v>29188000000</v>
      </c>
    </row>
    <row r="18" spans="1:7" x14ac:dyDescent="0.3">
      <c r="A18" t="s">
        <v>594</v>
      </c>
      <c r="B18" t="s">
        <v>554</v>
      </c>
      <c r="C18">
        <v>1761</v>
      </c>
      <c r="D18">
        <v>764</v>
      </c>
      <c r="E18">
        <v>415</v>
      </c>
      <c r="F18">
        <f t="shared" si="0"/>
        <v>2940</v>
      </c>
      <c r="G18" s="1">
        <f t="shared" si="1"/>
        <v>2940000000</v>
      </c>
    </row>
    <row r="19" spans="1:7" x14ac:dyDescent="0.3">
      <c r="A19" t="s">
        <v>595</v>
      </c>
      <c r="B19" t="s">
        <v>561</v>
      </c>
      <c r="C19">
        <v>7500</v>
      </c>
      <c r="D19">
        <v>1500</v>
      </c>
      <c r="F19">
        <f t="shared" si="0"/>
        <v>9000</v>
      </c>
      <c r="G19" s="1">
        <f t="shared" si="1"/>
        <v>9000000000</v>
      </c>
    </row>
    <row r="20" spans="1:7" x14ac:dyDescent="0.3">
      <c r="A20" t="s">
        <v>596</v>
      </c>
      <c r="B20" t="s">
        <v>558</v>
      </c>
      <c r="C20">
        <v>1716</v>
      </c>
      <c r="F20">
        <f t="shared" si="0"/>
        <v>1716</v>
      </c>
      <c r="G20" s="1">
        <f t="shared" si="1"/>
        <v>1716000000</v>
      </c>
    </row>
    <row r="21" spans="1:7" x14ac:dyDescent="0.3">
      <c r="A21" t="s">
        <v>597</v>
      </c>
      <c r="B21" t="s">
        <v>567</v>
      </c>
      <c r="C21">
        <v>92</v>
      </c>
      <c r="D21">
        <v>2</v>
      </c>
      <c r="F21">
        <f t="shared" si="0"/>
        <v>94</v>
      </c>
      <c r="G21" s="1">
        <f t="shared" si="1"/>
        <v>94000000</v>
      </c>
    </row>
    <row r="22" spans="1:7" x14ac:dyDescent="0.3">
      <c r="A22" t="s">
        <v>598</v>
      </c>
      <c r="B22" t="s">
        <v>565</v>
      </c>
      <c r="C22">
        <v>14000</v>
      </c>
      <c r="D22">
        <v>34</v>
      </c>
      <c r="E22">
        <v>145</v>
      </c>
      <c r="F22">
        <f t="shared" si="0"/>
        <v>14179</v>
      </c>
      <c r="G22" s="1">
        <f t="shared" si="1"/>
        <v>14179000000</v>
      </c>
    </row>
    <row r="23" spans="1:7" x14ac:dyDescent="0.3">
      <c r="A23" t="s">
        <v>599</v>
      </c>
      <c r="B23" t="s">
        <v>573</v>
      </c>
      <c r="C23">
        <v>7100</v>
      </c>
      <c r="D23">
        <v>7300</v>
      </c>
      <c r="F23">
        <f t="shared" si="0"/>
        <v>14400</v>
      </c>
      <c r="G23" s="1">
        <f t="shared" si="1"/>
        <v>14400000000</v>
      </c>
    </row>
  </sheetData>
  <sortState xmlns:xlrd2="http://schemas.microsoft.com/office/spreadsheetml/2017/richdata2" ref="B1:G23">
    <sortCondition ref="B1:B23"/>
  </sortState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3"/>
  <sheetViews>
    <sheetView zoomScaleNormal="100" workbookViewId="0">
      <selection activeCell="J17" sqref="J17"/>
    </sheetView>
  </sheetViews>
  <sheetFormatPr defaultRowHeight="14.4" x14ac:dyDescent="0.3"/>
  <cols>
    <col min="7" max="8" width="25.44140625" style="1" customWidth="1"/>
    <col min="10" max="10" width="25.109375" customWidth="1"/>
    <col min="11" max="11" width="10.77734375" customWidth="1"/>
    <col min="13" max="13" width="15.33203125" customWidth="1"/>
    <col min="14" max="14" width="16.33203125" customWidth="1"/>
    <col min="15" max="15" width="18.44140625" customWidth="1"/>
    <col min="19" max="19" width="13.6640625" bestFit="1" customWidth="1"/>
    <col min="20" max="20" width="24.77734375" bestFit="1" customWidth="1"/>
    <col min="21" max="21" width="19.88671875" customWidth="1"/>
    <col min="22" max="22" width="10.33203125" style="1" bestFit="1" customWidth="1"/>
  </cols>
  <sheetData>
    <row r="1" spans="1:22" x14ac:dyDescent="0.3">
      <c r="B1" t="s">
        <v>0</v>
      </c>
      <c r="D1" t="s">
        <v>2</v>
      </c>
      <c r="E1" t="s">
        <v>3</v>
      </c>
      <c r="F1" t="s">
        <v>4</v>
      </c>
      <c r="G1" s="1" t="s">
        <v>5</v>
      </c>
      <c r="H1" s="1" t="s">
        <v>553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</v>
      </c>
      <c r="T1" t="s">
        <v>16</v>
      </c>
      <c r="U1" t="s">
        <v>692</v>
      </c>
    </row>
    <row r="2" spans="1:22" s="4" customFormat="1" x14ac:dyDescent="0.3">
      <c r="A2" s="4" t="s">
        <v>600</v>
      </c>
      <c r="B2" s="4">
        <v>2019</v>
      </c>
      <c r="D2" s="4" t="s">
        <v>17</v>
      </c>
      <c r="E2" s="4" t="s">
        <v>18</v>
      </c>
      <c r="F2" s="4" t="s">
        <v>19</v>
      </c>
      <c r="G2" s="2">
        <v>1190000000</v>
      </c>
      <c r="H2" s="2">
        <f t="shared" ref="H2:H33" si="0">G2/1000</f>
        <v>1190000</v>
      </c>
      <c r="I2" s="4" t="s">
        <v>20</v>
      </c>
      <c r="J2" s="4" t="s">
        <v>21</v>
      </c>
      <c r="K2" s="4" t="s">
        <v>22</v>
      </c>
      <c r="L2" s="4" t="s">
        <v>23</v>
      </c>
      <c r="M2" s="4" t="s">
        <v>24</v>
      </c>
      <c r="N2" s="4">
        <v>5.6738</v>
      </c>
      <c r="O2" s="4">
        <v>50.764600000000002</v>
      </c>
      <c r="P2" s="4" t="s">
        <v>25</v>
      </c>
      <c r="Q2" s="4" t="s">
        <v>26</v>
      </c>
      <c r="R2" s="4" t="s">
        <v>27</v>
      </c>
      <c r="S2" s="4" t="s">
        <v>722</v>
      </c>
      <c r="T2" s="4" t="s">
        <v>28</v>
      </c>
      <c r="U2" s="4" t="s">
        <v>717</v>
      </c>
      <c r="V2" s="2">
        <v>17767</v>
      </c>
    </row>
    <row r="3" spans="1:22" s="4" customFormat="1" x14ac:dyDescent="0.3">
      <c r="A3" s="4" t="s">
        <v>601</v>
      </c>
      <c r="B3" s="4">
        <v>2019</v>
      </c>
      <c r="D3" s="4" t="s">
        <v>17</v>
      </c>
      <c r="E3" s="4" t="s">
        <v>18</v>
      </c>
      <c r="F3" s="4" t="s">
        <v>19</v>
      </c>
      <c r="G3" s="2">
        <v>1480000000</v>
      </c>
      <c r="H3" s="2">
        <f t="shared" si="0"/>
        <v>1480000</v>
      </c>
      <c r="I3" s="4" t="s">
        <v>20</v>
      </c>
      <c r="J3" s="4" t="s">
        <v>21</v>
      </c>
      <c r="K3" s="4" t="s">
        <v>29</v>
      </c>
      <c r="L3" s="4" t="s">
        <v>30</v>
      </c>
      <c r="M3" s="4" t="s">
        <v>31</v>
      </c>
      <c r="N3" s="4">
        <v>3.4878</v>
      </c>
      <c r="O3" s="4">
        <v>50.601599999999998</v>
      </c>
      <c r="P3" s="4" t="s">
        <v>32</v>
      </c>
      <c r="Q3" s="4" t="s">
        <v>33</v>
      </c>
      <c r="R3" s="4" t="s">
        <v>34</v>
      </c>
      <c r="S3" s="4" t="s">
        <v>722</v>
      </c>
      <c r="T3" s="4" t="s">
        <v>35</v>
      </c>
      <c r="U3" s="4" t="s">
        <v>716</v>
      </c>
      <c r="V3" s="2">
        <v>69554</v>
      </c>
    </row>
    <row r="4" spans="1:22" s="4" customFormat="1" x14ac:dyDescent="0.3">
      <c r="A4" s="4" t="s">
        <v>602</v>
      </c>
      <c r="B4" s="4">
        <v>2019</v>
      </c>
      <c r="D4" s="4" t="s">
        <v>17</v>
      </c>
      <c r="E4" s="4" t="s">
        <v>18</v>
      </c>
      <c r="F4" s="4" t="s">
        <v>19</v>
      </c>
      <c r="G4" s="2">
        <v>1090000000</v>
      </c>
      <c r="H4" s="2">
        <f t="shared" si="0"/>
        <v>1090000</v>
      </c>
      <c r="I4" s="4" t="s">
        <v>20</v>
      </c>
      <c r="J4" s="4" t="s">
        <v>21</v>
      </c>
      <c r="K4" s="4" t="s">
        <v>36</v>
      </c>
      <c r="L4" s="4" t="s">
        <v>37</v>
      </c>
      <c r="M4" s="4" t="s">
        <v>38</v>
      </c>
      <c r="N4" s="4">
        <v>3.9925000000000002</v>
      </c>
      <c r="O4" s="4">
        <v>50.472299999999997</v>
      </c>
      <c r="P4" s="4" t="s">
        <v>39</v>
      </c>
      <c r="Q4" s="4" t="s">
        <v>40</v>
      </c>
      <c r="R4" s="4" t="s">
        <v>41</v>
      </c>
      <c r="S4" s="4" t="s">
        <v>722</v>
      </c>
      <c r="T4" s="4" t="s">
        <v>42</v>
      </c>
      <c r="U4" s="4" t="s">
        <v>718</v>
      </c>
      <c r="V4" s="2">
        <v>3633</v>
      </c>
    </row>
    <row r="5" spans="1:22" x14ac:dyDescent="0.3">
      <c r="A5" t="s">
        <v>603</v>
      </c>
      <c r="B5">
        <v>2019</v>
      </c>
      <c r="D5" t="s">
        <v>17</v>
      </c>
      <c r="E5" t="s">
        <v>18</v>
      </c>
      <c r="F5" t="s">
        <v>19</v>
      </c>
      <c r="G5" s="1">
        <v>859000000</v>
      </c>
      <c r="H5" s="1">
        <f t="shared" si="0"/>
        <v>859000</v>
      </c>
      <c r="I5" t="s">
        <v>20</v>
      </c>
      <c r="J5" t="s">
        <v>21</v>
      </c>
      <c r="K5" t="s">
        <v>43</v>
      </c>
      <c r="L5" t="s">
        <v>23</v>
      </c>
      <c r="M5" t="s">
        <v>44</v>
      </c>
      <c r="N5">
        <v>3.4422999999999999</v>
      </c>
      <c r="O5">
        <v>50.576700000000002</v>
      </c>
      <c r="P5" t="s">
        <v>45</v>
      </c>
      <c r="Q5" t="s">
        <v>46</v>
      </c>
      <c r="R5" t="s">
        <v>47</v>
      </c>
      <c r="S5" t="s">
        <v>722</v>
      </c>
      <c r="T5" t="s">
        <v>48</v>
      </c>
      <c r="U5" t="s">
        <v>718</v>
      </c>
      <c r="V5" s="1">
        <v>7760</v>
      </c>
    </row>
    <row r="6" spans="1:22" x14ac:dyDescent="0.3">
      <c r="A6" t="s">
        <v>604</v>
      </c>
      <c r="B6">
        <v>2019</v>
      </c>
      <c r="D6" t="s">
        <v>17</v>
      </c>
      <c r="E6" t="s">
        <v>18</v>
      </c>
      <c r="F6" t="s">
        <v>19</v>
      </c>
      <c r="G6" s="1">
        <v>680346000</v>
      </c>
      <c r="H6" s="1">
        <f t="shared" si="0"/>
        <v>680346</v>
      </c>
      <c r="I6" t="s">
        <v>20</v>
      </c>
      <c r="J6" t="s">
        <v>21</v>
      </c>
      <c r="K6" t="s">
        <v>49</v>
      </c>
      <c r="L6" t="s">
        <v>50</v>
      </c>
      <c r="M6" t="s">
        <v>51</v>
      </c>
      <c r="N6">
        <v>27.594131000000001</v>
      </c>
      <c r="O6">
        <v>43.235106999999999</v>
      </c>
      <c r="P6" t="s">
        <v>52</v>
      </c>
      <c r="Q6" t="s">
        <v>53</v>
      </c>
      <c r="R6" t="s">
        <v>54</v>
      </c>
      <c r="S6" t="s">
        <v>723</v>
      </c>
      <c r="T6" t="s">
        <v>55</v>
      </c>
      <c r="U6" t="s">
        <v>719</v>
      </c>
      <c r="V6" s="1">
        <v>8679</v>
      </c>
    </row>
    <row r="7" spans="1:22" x14ac:dyDescent="0.3">
      <c r="A7" t="s">
        <v>605</v>
      </c>
      <c r="B7">
        <v>2019</v>
      </c>
      <c r="D7" t="s">
        <v>17</v>
      </c>
      <c r="E7" t="s">
        <v>18</v>
      </c>
      <c r="F7" t="s">
        <v>19</v>
      </c>
      <c r="G7" s="1">
        <v>447929129</v>
      </c>
      <c r="H7" s="1">
        <f t="shared" si="0"/>
        <v>447929.12900000002</v>
      </c>
      <c r="I7" t="s">
        <v>20</v>
      </c>
      <c r="J7" t="s">
        <v>21</v>
      </c>
      <c r="K7" t="s">
        <v>56</v>
      </c>
      <c r="L7" t="s">
        <v>57</v>
      </c>
      <c r="M7" t="s">
        <v>58</v>
      </c>
      <c r="N7">
        <v>23.463965999999999</v>
      </c>
      <c r="O7">
        <v>43.283180000000002</v>
      </c>
      <c r="P7" t="s">
        <v>59</v>
      </c>
      <c r="Q7" t="s">
        <v>53</v>
      </c>
      <c r="R7" t="s">
        <v>60</v>
      </c>
      <c r="S7" t="s">
        <v>723</v>
      </c>
      <c r="T7" t="s">
        <v>61</v>
      </c>
      <c r="U7" t="s">
        <v>720</v>
      </c>
      <c r="V7" s="1">
        <v>65905</v>
      </c>
    </row>
    <row r="8" spans="1:22" x14ac:dyDescent="0.3">
      <c r="A8" t="s">
        <v>606</v>
      </c>
      <c r="B8">
        <v>2019</v>
      </c>
      <c r="D8" t="s">
        <v>17</v>
      </c>
      <c r="E8" t="s">
        <v>18</v>
      </c>
      <c r="F8" t="s">
        <v>19</v>
      </c>
      <c r="G8" s="1">
        <v>509000000</v>
      </c>
      <c r="H8" s="1">
        <f t="shared" si="0"/>
        <v>509000</v>
      </c>
      <c r="I8" t="s">
        <v>20</v>
      </c>
      <c r="J8" t="s">
        <v>21</v>
      </c>
      <c r="K8" t="s">
        <v>62</v>
      </c>
      <c r="L8" t="s">
        <v>63</v>
      </c>
      <c r="M8" t="s">
        <v>64</v>
      </c>
      <c r="N8">
        <v>24.170936999999999</v>
      </c>
      <c r="O8">
        <v>43.088183999999998</v>
      </c>
      <c r="P8" t="s">
        <v>65</v>
      </c>
      <c r="Q8" t="s">
        <v>66</v>
      </c>
      <c r="R8" t="s">
        <v>67</v>
      </c>
      <c r="S8" t="s">
        <v>723</v>
      </c>
      <c r="T8" t="s">
        <v>68</v>
      </c>
      <c r="U8" t="s">
        <v>721</v>
      </c>
      <c r="V8" s="1">
        <v>2896</v>
      </c>
    </row>
    <row r="9" spans="1:22" x14ac:dyDescent="0.3">
      <c r="A9" t="s">
        <v>607</v>
      </c>
      <c r="B9">
        <v>2019</v>
      </c>
      <c r="D9" t="s">
        <v>17</v>
      </c>
      <c r="E9" t="s">
        <v>18</v>
      </c>
      <c r="F9" t="s">
        <v>19</v>
      </c>
      <c r="G9" s="1">
        <v>380000000</v>
      </c>
      <c r="H9" s="1">
        <f t="shared" si="0"/>
        <v>380000</v>
      </c>
      <c r="I9" t="s">
        <v>20</v>
      </c>
      <c r="J9" t="s">
        <v>21</v>
      </c>
      <c r="K9" t="s">
        <v>69</v>
      </c>
      <c r="L9" t="s">
        <v>70</v>
      </c>
      <c r="M9" t="s">
        <v>70</v>
      </c>
      <c r="N9">
        <v>6.5464000000000002</v>
      </c>
      <c r="O9">
        <v>46.655700000000003</v>
      </c>
      <c r="P9" t="s">
        <v>71</v>
      </c>
      <c r="R9" t="s">
        <v>72</v>
      </c>
      <c r="S9" t="s">
        <v>724</v>
      </c>
      <c r="T9" t="s">
        <v>73</v>
      </c>
      <c r="U9" t="s">
        <v>73</v>
      </c>
      <c r="V9" s="1">
        <v>974</v>
      </c>
    </row>
    <row r="10" spans="1:22" x14ac:dyDescent="0.3">
      <c r="A10" t="s">
        <v>608</v>
      </c>
      <c r="B10">
        <v>2019</v>
      </c>
      <c r="D10" t="s">
        <v>17</v>
      </c>
      <c r="E10" t="s">
        <v>18</v>
      </c>
      <c r="F10" t="s">
        <v>19</v>
      </c>
      <c r="G10" s="1">
        <v>507000000</v>
      </c>
      <c r="H10" s="1">
        <f t="shared" si="0"/>
        <v>507000</v>
      </c>
      <c r="I10" t="s">
        <v>20</v>
      </c>
      <c r="J10" t="s">
        <v>21</v>
      </c>
      <c r="K10" t="s">
        <v>74</v>
      </c>
      <c r="L10" t="s">
        <v>75</v>
      </c>
      <c r="M10" t="s">
        <v>75</v>
      </c>
      <c r="N10">
        <v>8.2391000000000005</v>
      </c>
      <c r="O10">
        <v>47.521700000000003</v>
      </c>
      <c r="P10" t="s">
        <v>76</v>
      </c>
      <c r="R10" t="s">
        <v>77</v>
      </c>
      <c r="S10" t="s">
        <v>724</v>
      </c>
      <c r="T10" t="s">
        <v>78</v>
      </c>
      <c r="U10" t="s">
        <v>78</v>
      </c>
      <c r="V10" s="1">
        <v>4046</v>
      </c>
    </row>
    <row r="11" spans="1:22" x14ac:dyDescent="0.3">
      <c r="A11" t="s">
        <v>609</v>
      </c>
      <c r="B11">
        <v>2019</v>
      </c>
      <c r="D11" t="s">
        <v>17</v>
      </c>
      <c r="E11" t="s">
        <v>18</v>
      </c>
      <c r="F11" t="s">
        <v>19</v>
      </c>
      <c r="G11" s="1">
        <v>413000000</v>
      </c>
      <c r="H11" s="1">
        <f t="shared" si="0"/>
        <v>413000</v>
      </c>
      <c r="I11" t="s">
        <v>20</v>
      </c>
      <c r="J11" t="s">
        <v>21</v>
      </c>
      <c r="K11" t="s">
        <v>79</v>
      </c>
      <c r="L11" t="s">
        <v>75</v>
      </c>
      <c r="M11" t="s">
        <v>75</v>
      </c>
      <c r="N11">
        <v>9.5528999999999993</v>
      </c>
      <c r="O11">
        <v>46.915500000000002</v>
      </c>
      <c r="P11" t="s">
        <v>80</v>
      </c>
      <c r="R11" t="s">
        <v>81</v>
      </c>
      <c r="S11" t="s">
        <v>724</v>
      </c>
      <c r="T11" t="s">
        <v>82</v>
      </c>
      <c r="U11" t="s">
        <v>82</v>
      </c>
      <c r="V11" s="1">
        <v>2287</v>
      </c>
    </row>
    <row r="12" spans="1:22" x14ac:dyDescent="0.3">
      <c r="A12" t="s">
        <v>610</v>
      </c>
      <c r="B12">
        <v>2019</v>
      </c>
      <c r="D12" t="s">
        <v>17</v>
      </c>
      <c r="E12" t="s">
        <v>18</v>
      </c>
      <c r="F12" t="s">
        <v>19</v>
      </c>
      <c r="G12" s="1">
        <v>497000000</v>
      </c>
      <c r="H12" s="1">
        <f t="shared" si="0"/>
        <v>497000</v>
      </c>
      <c r="I12" t="s">
        <v>20</v>
      </c>
      <c r="J12" t="s">
        <v>21</v>
      </c>
      <c r="K12" t="s">
        <v>83</v>
      </c>
      <c r="L12" t="s">
        <v>84</v>
      </c>
      <c r="M12" t="s">
        <v>84</v>
      </c>
      <c r="N12">
        <v>8.1568000000000005</v>
      </c>
      <c r="O12">
        <v>47.414700000000003</v>
      </c>
      <c r="P12" t="s">
        <v>85</v>
      </c>
      <c r="Q12" t="s">
        <v>86</v>
      </c>
      <c r="R12" t="s">
        <v>87</v>
      </c>
      <c r="S12" t="s">
        <v>724</v>
      </c>
      <c r="T12" t="s">
        <v>88</v>
      </c>
      <c r="U12" t="s">
        <v>803</v>
      </c>
      <c r="V12" s="1">
        <v>3971</v>
      </c>
    </row>
    <row r="13" spans="1:22" x14ac:dyDescent="0.3">
      <c r="A13" t="s">
        <v>611</v>
      </c>
      <c r="B13">
        <v>2019</v>
      </c>
      <c r="D13" t="s">
        <v>17</v>
      </c>
      <c r="E13" t="s">
        <v>18</v>
      </c>
      <c r="F13" t="s">
        <v>19</v>
      </c>
      <c r="G13" s="1">
        <v>204000000</v>
      </c>
      <c r="H13" s="1">
        <f t="shared" si="0"/>
        <v>204000</v>
      </c>
      <c r="I13" t="s">
        <v>20</v>
      </c>
      <c r="J13" t="s">
        <v>21</v>
      </c>
      <c r="K13" t="s">
        <v>89</v>
      </c>
      <c r="L13" t="s">
        <v>90</v>
      </c>
      <c r="M13" t="s">
        <v>90</v>
      </c>
      <c r="N13">
        <v>7.0296000000000003</v>
      </c>
      <c r="O13">
        <v>47.033999999999999</v>
      </c>
      <c r="P13" t="s">
        <v>91</v>
      </c>
      <c r="R13" t="s">
        <v>92</v>
      </c>
      <c r="S13" t="s">
        <v>724</v>
      </c>
      <c r="T13" t="s">
        <v>93</v>
      </c>
      <c r="U13" t="s">
        <v>93</v>
      </c>
      <c r="V13" s="1">
        <v>1502</v>
      </c>
    </row>
    <row r="14" spans="1:22" x14ac:dyDescent="0.3">
      <c r="A14" t="s">
        <v>612</v>
      </c>
      <c r="B14">
        <v>2019</v>
      </c>
      <c r="D14" t="s">
        <v>17</v>
      </c>
      <c r="E14" t="s">
        <v>18</v>
      </c>
      <c r="F14" t="s">
        <v>19</v>
      </c>
      <c r="G14" s="1">
        <v>473000000</v>
      </c>
      <c r="H14" s="1">
        <f t="shared" si="0"/>
        <v>473000</v>
      </c>
      <c r="I14" t="s">
        <v>20</v>
      </c>
      <c r="J14" t="s">
        <v>21</v>
      </c>
      <c r="K14" t="s">
        <v>94</v>
      </c>
      <c r="L14" t="s">
        <v>95</v>
      </c>
      <c r="M14" t="s">
        <v>95</v>
      </c>
      <c r="N14">
        <v>7.2492999999999999</v>
      </c>
      <c r="O14">
        <v>47.184800000000003</v>
      </c>
      <c r="P14" t="s">
        <v>96</v>
      </c>
      <c r="R14" t="s">
        <v>97</v>
      </c>
      <c r="S14" t="s">
        <v>724</v>
      </c>
      <c r="T14" t="s">
        <v>98</v>
      </c>
      <c r="U14" t="s">
        <v>98</v>
      </c>
      <c r="V14" s="1">
        <v>1900</v>
      </c>
    </row>
    <row r="15" spans="1:22" s="4" customFormat="1" x14ac:dyDescent="0.3">
      <c r="A15" s="4" t="s">
        <v>613</v>
      </c>
      <c r="B15" s="4">
        <v>2019</v>
      </c>
      <c r="D15" s="4" t="s">
        <v>17</v>
      </c>
      <c r="E15" s="4" t="s">
        <v>18</v>
      </c>
      <c r="F15" s="4" t="s">
        <v>19</v>
      </c>
      <c r="G15" s="2">
        <v>1240000000</v>
      </c>
      <c r="H15" s="2">
        <f t="shared" si="0"/>
        <v>1240000</v>
      </c>
      <c r="I15" s="4" t="s">
        <v>20</v>
      </c>
      <c r="J15" s="4" t="s">
        <v>21</v>
      </c>
      <c r="K15" s="4" t="s">
        <v>99</v>
      </c>
      <c r="L15" s="4" t="s">
        <v>100</v>
      </c>
      <c r="M15" s="4" t="s">
        <v>101</v>
      </c>
      <c r="N15" s="4">
        <v>33.316400000000002</v>
      </c>
      <c r="O15" s="4">
        <v>34.721699999999998</v>
      </c>
      <c r="P15" s="4" t="s">
        <v>102</v>
      </c>
      <c r="R15" s="4" t="s">
        <v>103</v>
      </c>
      <c r="S15" s="4" t="s">
        <v>725</v>
      </c>
      <c r="T15" s="4" t="s">
        <v>104</v>
      </c>
      <c r="U15" s="4" t="s">
        <v>104</v>
      </c>
      <c r="V15" s="2">
        <v>51468</v>
      </c>
    </row>
    <row r="16" spans="1:22" x14ac:dyDescent="0.3">
      <c r="A16" t="s">
        <v>614</v>
      </c>
      <c r="B16">
        <v>2019</v>
      </c>
      <c r="D16" t="s">
        <v>17</v>
      </c>
      <c r="E16" t="s">
        <v>18</v>
      </c>
      <c r="F16" t="s">
        <v>19</v>
      </c>
      <c r="G16" s="1">
        <v>510945000</v>
      </c>
      <c r="H16" s="1">
        <f t="shared" si="0"/>
        <v>510945</v>
      </c>
      <c r="I16" t="s">
        <v>20</v>
      </c>
      <c r="J16" t="s">
        <v>21</v>
      </c>
      <c r="K16" t="s">
        <v>105</v>
      </c>
      <c r="L16" t="s">
        <v>106</v>
      </c>
      <c r="M16" t="s">
        <v>107</v>
      </c>
      <c r="N16">
        <v>14.3397878194444</v>
      </c>
      <c r="O16">
        <v>49.996187919444402</v>
      </c>
      <c r="P16" t="s">
        <v>108</v>
      </c>
      <c r="Q16" t="s">
        <v>109</v>
      </c>
      <c r="R16" t="s">
        <v>110</v>
      </c>
      <c r="S16" t="s">
        <v>555</v>
      </c>
      <c r="T16" t="s">
        <v>111</v>
      </c>
      <c r="U16" t="s">
        <v>726</v>
      </c>
      <c r="V16" s="1">
        <v>1309000</v>
      </c>
    </row>
    <row r="17" spans="1:22" x14ac:dyDescent="0.3">
      <c r="A17" t="s">
        <v>615</v>
      </c>
      <c r="B17">
        <v>2019</v>
      </c>
      <c r="D17" t="s">
        <v>17</v>
      </c>
      <c r="E17" t="s">
        <v>18</v>
      </c>
      <c r="F17" t="s">
        <v>19</v>
      </c>
      <c r="G17" s="1">
        <v>847026000</v>
      </c>
      <c r="H17" s="1">
        <f t="shared" si="0"/>
        <v>847026</v>
      </c>
      <c r="I17" t="s">
        <v>20</v>
      </c>
      <c r="J17" t="s">
        <v>21</v>
      </c>
      <c r="K17" t="s">
        <v>112</v>
      </c>
      <c r="L17" t="s">
        <v>106</v>
      </c>
      <c r="M17" t="s">
        <v>113</v>
      </c>
      <c r="N17">
        <v>16.771682269444401</v>
      </c>
      <c r="O17">
        <v>49.216410988888903</v>
      </c>
      <c r="P17" t="s">
        <v>114</v>
      </c>
      <c r="Q17" t="s">
        <v>115</v>
      </c>
      <c r="R17" t="s">
        <v>116</v>
      </c>
      <c r="S17" t="s">
        <v>555</v>
      </c>
      <c r="T17" t="s">
        <v>117</v>
      </c>
      <c r="U17" t="s">
        <v>727</v>
      </c>
      <c r="V17" s="1">
        <v>1000</v>
      </c>
    </row>
    <row r="18" spans="1:22" x14ac:dyDescent="0.3">
      <c r="A18" t="s">
        <v>616</v>
      </c>
      <c r="B18">
        <v>2019</v>
      </c>
      <c r="D18" t="s">
        <v>17</v>
      </c>
      <c r="E18" t="s">
        <v>18</v>
      </c>
      <c r="F18" t="s">
        <v>19</v>
      </c>
      <c r="G18" s="1">
        <v>642064000</v>
      </c>
      <c r="H18" s="1">
        <f t="shared" si="0"/>
        <v>642064</v>
      </c>
      <c r="I18" t="s">
        <v>20</v>
      </c>
      <c r="J18" t="s">
        <v>21</v>
      </c>
      <c r="K18" t="s">
        <v>118</v>
      </c>
      <c r="L18" t="s">
        <v>119</v>
      </c>
      <c r="M18" t="s">
        <v>119</v>
      </c>
      <c r="N18">
        <v>15.6404404388889</v>
      </c>
      <c r="O18">
        <v>49.895458611111103</v>
      </c>
      <c r="P18" t="s">
        <v>120</v>
      </c>
      <c r="Q18" t="s">
        <v>121</v>
      </c>
      <c r="R18" t="s">
        <v>122</v>
      </c>
      <c r="S18" t="s">
        <v>555</v>
      </c>
      <c r="T18" t="s">
        <v>123</v>
      </c>
      <c r="U18" t="s">
        <v>123</v>
      </c>
      <c r="V18" s="1">
        <v>1407</v>
      </c>
    </row>
    <row r="19" spans="1:22" x14ac:dyDescent="0.3">
      <c r="A19" t="s">
        <v>617</v>
      </c>
      <c r="B19">
        <v>2019</v>
      </c>
      <c r="D19" t="s">
        <v>17</v>
      </c>
      <c r="E19" t="s">
        <v>18</v>
      </c>
      <c r="F19" t="s">
        <v>19</v>
      </c>
      <c r="G19" s="1">
        <v>681736000</v>
      </c>
      <c r="H19" s="1">
        <f t="shared" si="0"/>
        <v>681736</v>
      </c>
      <c r="I19" t="s">
        <v>20</v>
      </c>
      <c r="J19" t="s">
        <v>21</v>
      </c>
      <c r="K19" t="s">
        <v>124</v>
      </c>
      <c r="L19" t="s">
        <v>125</v>
      </c>
      <c r="M19" t="s">
        <v>125</v>
      </c>
      <c r="N19">
        <v>17.760955555555601</v>
      </c>
      <c r="O19">
        <v>49.561166666666701</v>
      </c>
      <c r="P19" t="s">
        <v>126</v>
      </c>
      <c r="Q19" t="s">
        <v>127</v>
      </c>
      <c r="R19" t="s">
        <v>128</v>
      </c>
      <c r="S19" t="s">
        <v>555</v>
      </c>
      <c r="T19" t="s">
        <v>129</v>
      </c>
      <c r="U19" t="s">
        <v>129</v>
      </c>
      <c r="V19" s="1">
        <v>18092</v>
      </c>
    </row>
    <row r="20" spans="1:22" x14ac:dyDescent="0.3">
      <c r="A20" t="s">
        <v>618</v>
      </c>
      <c r="B20">
        <v>2019</v>
      </c>
      <c r="D20" t="s">
        <v>17</v>
      </c>
      <c r="E20" t="s">
        <v>18</v>
      </c>
      <c r="F20" t="s">
        <v>19</v>
      </c>
      <c r="G20" s="1">
        <v>551228000</v>
      </c>
      <c r="H20" s="1">
        <f t="shared" si="0"/>
        <v>551228</v>
      </c>
      <c r="I20" t="s">
        <v>20</v>
      </c>
      <c r="J20" t="s">
        <v>21</v>
      </c>
      <c r="K20" t="s">
        <v>130</v>
      </c>
      <c r="L20" t="s">
        <v>131</v>
      </c>
      <c r="M20" t="s">
        <v>131</v>
      </c>
      <c r="N20">
        <v>14.0450945694444</v>
      </c>
      <c r="O20">
        <v>50.489526388888898</v>
      </c>
      <c r="P20" t="s">
        <v>114</v>
      </c>
      <c r="Q20" t="s">
        <v>132</v>
      </c>
      <c r="R20" t="s">
        <v>133</v>
      </c>
      <c r="S20" t="s">
        <v>555</v>
      </c>
      <c r="T20" t="s">
        <v>134</v>
      </c>
      <c r="U20" t="s">
        <v>134</v>
      </c>
      <c r="V20" s="1">
        <v>1374</v>
      </c>
    </row>
    <row r="21" spans="1:22" s="4" customFormat="1" x14ac:dyDescent="0.3">
      <c r="A21" s="4" t="s">
        <v>619</v>
      </c>
      <c r="B21" s="4">
        <v>2019</v>
      </c>
      <c r="D21" s="4" t="s">
        <v>17</v>
      </c>
      <c r="E21" s="4" t="s">
        <v>18</v>
      </c>
      <c r="F21" s="4" t="s">
        <v>19</v>
      </c>
      <c r="G21" s="2">
        <v>2189152000</v>
      </c>
      <c r="H21" s="2">
        <f t="shared" si="0"/>
        <v>2189152</v>
      </c>
      <c r="I21" s="4" t="s">
        <v>20</v>
      </c>
      <c r="J21" s="4" t="s">
        <v>21</v>
      </c>
      <c r="K21" s="4" t="s">
        <v>135</v>
      </c>
      <c r="L21" s="4" t="s">
        <v>136</v>
      </c>
      <c r="M21" s="4" t="s">
        <v>136</v>
      </c>
      <c r="N21" s="4">
        <v>9.9727836904086793</v>
      </c>
      <c r="O21" s="4">
        <v>57.063241332579402</v>
      </c>
      <c r="P21" s="4" t="s">
        <v>137</v>
      </c>
      <c r="Q21" s="4" t="s">
        <v>138</v>
      </c>
      <c r="R21" s="4" t="s">
        <v>139</v>
      </c>
      <c r="S21" s="4" t="s">
        <v>729</v>
      </c>
      <c r="T21" s="4" t="s">
        <v>140</v>
      </c>
      <c r="U21" s="4" t="s">
        <v>728</v>
      </c>
      <c r="V21" s="2">
        <v>211684</v>
      </c>
    </row>
    <row r="22" spans="1:22" x14ac:dyDescent="0.3">
      <c r="A22" t="s">
        <v>620</v>
      </c>
      <c r="B22">
        <v>2019</v>
      </c>
      <c r="D22" t="s">
        <v>17</v>
      </c>
      <c r="E22" t="s">
        <v>18</v>
      </c>
      <c r="F22" t="s">
        <v>19</v>
      </c>
      <c r="G22" s="1">
        <v>564000000</v>
      </c>
      <c r="H22" s="1">
        <f t="shared" si="0"/>
        <v>564000</v>
      </c>
      <c r="I22" t="s">
        <v>20</v>
      </c>
      <c r="J22" t="s">
        <v>21</v>
      </c>
      <c r="K22" t="s">
        <v>141</v>
      </c>
      <c r="L22" t="s">
        <v>142</v>
      </c>
      <c r="M22" t="s">
        <v>143</v>
      </c>
      <c r="N22">
        <v>26.531090799499999</v>
      </c>
      <c r="O22">
        <v>59.496440866900002</v>
      </c>
      <c r="P22" t="s">
        <v>144</v>
      </c>
      <c r="Q22" t="s">
        <v>66</v>
      </c>
      <c r="R22" t="s">
        <v>145</v>
      </c>
      <c r="S22" t="s">
        <v>730</v>
      </c>
      <c r="T22" t="s">
        <v>146</v>
      </c>
      <c r="U22" t="s">
        <v>731</v>
      </c>
      <c r="V22" s="1">
        <v>3125</v>
      </c>
    </row>
    <row r="23" spans="1:22" x14ac:dyDescent="0.3">
      <c r="A23" t="s">
        <v>621</v>
      </c>
      <c r="B23">
        <v>2019</v>
      </c>
      <c r="D23" t="s">
        <v>17</v>
      </c>
      <c r="E23" t="s">
        <v>18</v>
      </c>
      <c r="F23" t="s">
        <v>19</v>
      </c>
      <c r="G23" s="1">
        <v>408000000</v>
      </c>
      <c r="H23" s="1">
        <f t="shared" si="0"/>
        <v>408000</v>
      </c>
      <c r="I23" t="s">
        <v>20</v>
      </c>
      <c r="J23" t="s">
        <v>21</v>
      </c>
      <c r="K23" t="s">
        <v>147</v>
      </c>
      <c r="L23" t="s">
        <v>148</v>
      </c>
      <c r="M23" t="s">
        <v>149</v>
      </c>
      <c r="N23">
        <v>-6.4834569999999996</v>
      </c>
      <c r="O23">
        <v>38.378807000000002</v>
      </c>
      <c r="P23" t="s">
        <v>150</v>
      </c>
      <c r="Q23" t="s">
        <v>151</v>
      </c>
      <c r="R23" t="s">
        <v>152</v>
      </c>
      <c r="S23" t="s">
        <v>732</v>
      </c>
      <c r="T23" t="s">
        <v>153</v>
      </c>
      <c r="U23" t="s">
        <v>153</v>
      </c>
      <c r="V23" s="1">
        <v>735</v>
      </c>
    </row>
    <row r="24" spans="1:22" x14ac:dyDescent="0.3">
      <c r="A24" t="s">
        <v>622</v>
      </c>
      <c r="B24">
        <v>2019</v>
      </c>
      <c r="D24" t="s">
        <v>17</v>
      </c>
      <c r="E24" t="s">
        <v>18</v>
      </c>
      <c r="F24" t="s">
        <v>19</v>
      </c>
      <c r="G24" s="1">
        <v>302000000</v>
      </c>
      <c r="H24" s="1">
        <f t="shared" si="0"/>
        <v>302000</v>
      </c>
      <c r="I24" t="s">
        <v>20</v>
      </c>
      <c r="J24" t="s">
        <v>21</v>
      </c>
      <c r="K24" t="s">
        <v>154</v>
      </c>
      <c r="L24" t="s">
        <v>155</v>
      </c>
      <c r="M24" t="s">
        <v>156</v>
      </c>
      <c r="N24">
        <v>-4.7630369999999997</v>
      </c>
      <c r="O24">
        <v>37.902838000000003</v>
      </c>
      <c r="P24" t="s">
        <v>157</v>
      </c>
      <c r="Q24" t="s">
        <v>158</v>
      </c>
      <c r="R24" t="s">
        <v>159</v>
      </c>
      <c r="S24" t="s">
        <v>732</v>
      </c>
      <c r="T24" t="s">
        <v>160</v>
      </c>
      <c r="U24" t="s">
        <v>160</v>
      </c>
      <c r="V24" s="1">
        <v>1528000</v>
      </c>
    </row>
    <row r="25" spans="1:22" x14ac:dyDescent="0.3">
      <c r="A25" t="s">
        <v>623</v>
      </c>
      <c r="B25">
        <v>2019</v>
      </c>
      <c r="D25" t="s">
        <v>17</v>
      </c>
      <c r="E25" t="s">
        <v>18</v>
      </c>
      <c r="F25" t="s">
        <v>19</v>
      </c>
      <c r="G25" s="1">
        <v>677000000</v>
      </c>
      <c r="H25" s="1">
        <f t="shared" si="0"/>
        <v>677000</v>
      </c>
      <c r="I25" t="s">
        <v>20</v>
      </c>
      <c r="J25" t="s">
        <v>21</v>
      </c>
      <c r="K25" t="s">
        <v>161</v>
      </c>
      <c r="L25" t="s">
        <v>162</v>
      </c>
      <c r="M25" t="s">
        <v>163</v>
      </c>
      <c r="N25">
        <v>-3.9</v>
      </c>
      <c r="O25">
        <v>40.011000000000003</v>
      </c>
      <c r="P25" t="s">
        <v>164</v>
      </c>
      <c r="Q25" t="s">
        <v>165</v>
      </c>
      <c r="R25" t="s">
        <v>166</v>
      </c>
      <c r="S25" t="s">
        <v>732</v>
      </c>
      <c r="T25" t="s">
        <v>167</v>
      </c>
      <c r="U25" t="s">
        <v>167</v>
      </c>
      <c r="V25" s="1">
        <v>3769</v>
      </c>
    </row>
    <row r="26" spans="1:22" x14ac:dyDescent="0.3">
      <c r="A26" t="s">
        <v>624</v>
      </c>
      <c r="B26">
        <v>2019</v>
      </c>
      <c r="D26" t="s">
        <v>17</v>
      </c>
      <c r="E26" t="s">
        <v>18</v>
      </c>
      <c r="F26" t="s">
        <v>19</v>
      </c>
      <c r="G26" s="1">
        <v>437000000</v>
      </c>
      <c r="H26" s="1">
        <f t="shared" si="0"/>
        <v>437000</v>
      </c>
      <c r="I26" t="s">
        <v>20</v>
      </c>
      <c r="J26" t="s">
        <v>21</v>
      </c>
      <c r="K26" t="s">
        <v>168</v>
      </c>
      <c r="L26" t="s">
        <v>162</v>
      </c>
      <c r="M26" t="s">
        <v>169</v>
      </c>
      <c r="N26">
        <v>2.186544</v>
      </c>
      <c r="O26">
        <v>41.477659000000003</v>
      </c>
      <c r="P26" t="s">
        <v>170</v>
      </c>
      <c r="Q26" t="s">
        <v>171</v>
      </c>
      <c r="R26" t="s">
        <v>172</v>
      </c>
      <c r="S26" t="s">
        <v>732</v>
      </c>
      <c r="T26" t="s">
        <v>173</v>
      </c>
      <c r="U26" t="s">
        <v>173</v>
      </c>
      <c r="V26" s="1">
        <v>35600</v>
      </c>
    </row>
    <row r="27" spans="1:22" x14ac:dyDescent="0.3">
      <c r="A27" t="s">
        <v>625</v>
      </c>
      <c r="B27">
        <v>2019</v>
      </c>
      <c r="D27" t="s">
        <v>17</v>
      </c>
      <c r="E27" t="s">
        <v>18</v>
      </c>
      <c r="F27" t="s">
        <v>19</v>
      </c>
      <c r="G27" s="1">
        <v>348000000</v>
      </c>
      <c r="H27" s="1">
        <f t="shared" si="0"/>
        <v>348000</v>
      </c>
      <c r="I27" t="s">
        <v>20</v>
      </c>
      <c r="J27" t="s">
        <v>21</v>
      </c>
      <c r="K27" t="s">
        <v>174</v>
      </c>
      <c r="L27" t="s">
        <v>155</v>
      </c>
      <c r="M27" t="s">
        <v>175</v>
      </c>
      <c r="N27">
        <v>-6.6708020000000001</v>
      </c>
      <c r="O27">
        <v>37.363554000000001</v>
      </c>
      <c r="P27" t="s">
        <v>176</v>
      </c>
      <c r="Q27" t="s">
        <v>165</v>
      </c>
      <c r="R27" t="s">
        <v>177</v>
      </c>
      <c r="S27" t="s">
        <v>732</v>
      </c>
      <c r="T27" t="s">
        <v>178</v>
      </c>
      <c r="U27" t="s">
        <v>178</v>
      </c>
      <c r="V27" s="1">
        <v>4103</v>
      </c>
    </row>
    <row r="28" spans="1:22" x14ac:dyDescent="0.3">
      <c r="A28" t="s">
        <v>626</v>
      </c>
      <c r="B28">
        <v>2019</v>
      </c>
      <c r="D28" t="s">
        <v>17</v>
      </c>
      <c r="E28" t="s">
        <v>18</v>
      </c>
      <c r="F28" t="s">
        <v>19</v>
      </c>
      <c r="G28" s="1">
        <v>886000000</v>
      </c>
      <c r="H28" s="1">
        <f t="shared" si="0"/>
        <v>886000</v>
      </c>
      <c r="I28" t="s">
        <v>20</v>
      </c>
      <c r="J28" t="s">
        <v>21</v>
      </c>
      <c r="K28" t="s">
        <v>179</v>
      </c>
      <c r="L28" t="s">
        <v>180</v>
      </c>
      <c r="M28" t="s">
        <v>181</v>
      </c>
      <c r="N28">
        <v>1.9992620000000001</v>
      </c>
      <c r="O28">
        <v>41.408723000000002</v>
      </c>
      <c r="P28" t="s">
        <v>182</v>
      </c>
      <c r="Q28" t="s">
        <v>183</v>
      </c>
      <c r="R28" t="s">
        <v>184</v>
      </c>
      <c r="S28" t="s">
        <v>732</v>
      </c>
      <c r="T28" t="s">
        <v>185</v>
      </c>
      <c r="U28" t="s">
        <v>185</v>
      </c>
      <c r="V28" s="1">
        <v>27901</v>
      </c>
    </row>
    <row r="29" spans="1:22" x14ac:dyDescent="0.3">
      <c r="A29" t="s">
        <v>627</v>
      </c>
      <c r="B29">
        <v>2019</v>
      </c>
      <c r="D29" t="s">
        <v>17</v>
      </c>
      <c r="E29" t="s">
        <v>18</v>
      </c>
      <c r="F29" t="s">
        <v>19</v>
      </c>
      <c r="G29" s="1">
        <v>550000000</v>
      </c>
      <c r="H29" s="1">
        <f t="shared" si="0"/>
        <v>550000</v>
      </c>
      <c r="I29" t="s">
        <v>20</v>
      </c>
      <c r="J29" t="s">
        <v>21</v>
      </c>
      <c r="K29" t="s">
        <v>186</v>
      </c>
      <c r="L29" t="s">
        <v>187</v>
      </c>
      <c r="M29" t="s">
        <v>188</v>
      </c>
      <c r="N29">
        <v>-6.2043970000000002</v>
      </c>
      <c r="O29">
        <v>37.353681999999999</v>
      </c>
      <c r="P29" t="s">
        <v>189</v>
      </c>
      <c r="Q29" t="s">
        <v>190</v>
      </c>
      <c r="R29" t="s">
        <v>191</v>
      </c>
      <c r="S29" t="s">
        <v>732</v>
      </c>
      <c r="T29" t="s">
        <v>192</v>
      </c>
      <c r="U29" t="s">
        <v>192</v>
      </c>
      <c r="V29" s="1">
        <v>75256</v>
      </c>
    </row>
    <row r="30" spans="1:22" x14ac:dyDescent="0.3">
      <c r="A30" t="s">
        <v>628</v>
      </c>
      <c r="B30">
        <v>2019</v>
      </c>
      <c r="D30" t="s">
        <v>17</v>
      </c>
      <c r="E30" t="s">
        <v>18</v>
      </c>
      <c r="F30" t="s">
        <v>19</v>
      </c>
      <c r="G30" s="1">
        <v>285000000</v>
      </c>
      <c r="H30" s="1">
        <f t="shared" si="0"/>
        <v>285000</v>
      </c>
      <c r="I30" t="s">
        <v>20</v>
      </c>
      <c r="J30" t="s">
        <v>21</v>
      </c>
      <c r="K30" t="s">
        <v>193</v>
      </c>
      <c r="L30" t="s">
        <v>187</v>
      </c>
      <c r="M30" t="s">
        <v>194</v>
      </c>
      <c r="N30">
        <v>-4.4661109999999997</v>
      </c>
      <c r="O30">
        <v>41.941389000000001</v>
      </c>
      <c r="P30" t="s">
        <v>195</v>
      </c>
      <c r="Q30" t="s">
        <v>165</v>
      </c>
      <c r="R30" t="s">
        <v>196</v>
      </c>
      <c r="S30" t="s">
        <v>732</v>
      </c>
      <c r="T30" t="s">
        <v>197</v>
      </c>
      <c r="U30" t="s">
        <v>197</v>
      </c>
      <c r="V30" s="1">
        <v>6363</v>
      </c>
    </row>
    <row r="31" spans="1:22" s="4" customFormat="1" x14ac:dyDescent="0.3">
      <c r="A31" s="4" t="s">
        <v>629</v>
      </c>
      <c r="B31" s="4">
        <v>2019</v>
      </c>
      <c r="D31" s="4" t="s">
        <v>17</v>
      </c>
      <c r="E31" s="4" t="s">
        <v>18</v>
      </c>
      <c r="F31" s="4" t="s">
        <v>19</v>
      </c>
      <c r="G31" s="2">
        <v>990000000</v>
      </c>
      <c r="H31" s="2">
        <f t="shared" si="0"/>
        <v>990000</v>
      </c>
      <c r="I31" s="4" t="s">
        <v>20</v>
      </c>
      <c r="J31" s="4" t="s">
        <v>21</v>
      </c>
      <c r="K31" s="4" t="s">
        <v>198</v>
      </c>
      <c r="L31" s="4" t="s">
        <v>187</v>
      </c>
      <c r="M31" s="4" t="s">
        <v>199</v>
      </c>
      <c r="N31" s="4">
        <v>-3.4743400000000002</v>
      </c>
      <c r="O31" s="4">
        <v>40.24483</v>
      </c>
      <c r="P31" s="4" t="s">
        <v>200</v>
      </c>
      <c r="Q31" s="4" t="s">
        <v>201</v>
      </c>
      <c r="R31" s="4" t="s">
        <v>202</v>
      </c>
      <c r="S31" s="4" t="s">
        <v>732</v>
      </c>
      <c r="T31" s="4" t="s">
        <v>203</v>
      </c>
      <c r="U31" s="4" t="s">
        <v>203</v>
      </c>
      <c r="V31" s="2">
        <v>7553</v>
      </c>
    </row>
    <row r="32" spans="1:22" x14ac:dyDescent="0.3">
      <c r="A32" t="s">
        <v>630</v>
      </c>
      <c r="B32">
        <v>2019</v>
      </c>
      <c r="D32" t="s">
        <v>17</v>
      </c>
      <c r="E32" t="s">
        <v>18</v>
      </c>
      <c r="F32" t="s">
        <v>19</v>
      </c>
      <c r="G32" s="1">
        <v>178000000</v>
      </c>
      <c r="H32" s="1">
        <f t="shared" si="0"/>
        <v>178000</v>
      </c>
      <c r="I32" t="s">
        <v>20</v>
      </c>
      <c r="J32" t="s">
        <v>21</v>
      </c>
      <c r="K32" t="s">
        <v>204</v>
      </c>
      <c r="L32" t="s">
        <v>205</v>
      </c>
      <c r="M32" t="s">
        <v>206</v>
      </c>
      <c r="N32">
        <v>-7.4488539999999999</v>
      </c>
      <c r="O32">
        <v>42.719113</v>
      </c>
      <c r="P32" t="s">
        <v>207</v>
      </c>
      <c r="Q32" t="s">
        <v>165</v>
      </c>
      <c r="R32" t="s">
        <v>208</v>
      </c>
      <c r="S32" t="s">
        <v>732</v>
      </c>
      <c r="T32" t="s">
        <v>209</v>
      </c>
      <c r="U32" t="s">
        <v>733</v>
      </c>
      <c r="V32" s="1">
        <v>13345</v>
      </c>
    </row>
    <row r="33" spans="1:22" x14ac:dyDescent="0.3">
      <c r="A33" t="s">
        <v>631</v>
      </c>
      <c r="B33">
        <v>2019</v>
      </c>
      <c r="D33" t="s">
        <v>17</v>
      </c>
      <c r="E33" t="s">
        <v>18</v>
      </c>
      <c r="F33" t="s">
        <v>19</v>
      </c>
      <c r="G33" s="1">
        <v>423000000</v>
      </c>
      <c r="H33" s="1">
        <f t="shared" si="0"/>
        <v>423000</v>
      </c>
      <c r="I33" t="s">
        <v>20</v>
      </c>
      <c r="J33" t="s">
        <v>21</v>
      </c>
      <c r="K33" t="s">
        <v>210</v>
      </c>
      <c r="L33" t="s">
        <v>205</v>
      </c>
      <c r="M33" t="s">
        <v>211</v>
      </c>
      <c r="N33">
        <v>-6.7688889999999997</v>
      </c>
      <c r="O33">
        <v>42.553610999999997</v>
      </c>
      <c r="P33" t="s">
        <v>212</v>
      </c>
      <c r="Q33" t="s">
        <v>213</v>
      </c>
      <c r="R33" t="s">
        <v>214</v>
      </c>
      <c r="S33" t="s">
        <v>732</v>
      </c>
      <c r="T33" t="s">
        <v>215</v>
      </c>
      <c r="U33" t="s">
        <v>215</v>
      </c>
      <c r="V33" s="1">
        <v>1887</v>
      </c>
    </row>
    <row r="34" spans="1:22" x14ac:dyDescent="0.3">
      <c r="A34" t="s">
        <v>632</v>
      </c>
      <c r="B34">
        <v>2019</v>
      </c>
      <c r="D34" t="s">
        <v>17</v>
      </c>
      <c r="E34" t="s">
        <v>18</v>
      </c>
      <c r="F34" t="s">
        <v>19</v>
      </c>
      <c r="G34" s="1">
        <v>638000000</v>
      </c>
      <c r="H34" s="1">
        <f t="shared" ref="H34:H65" si="1">G34/1000</f>
        <v>638000</v>
      </c>
      <c r="I34" t="s">
        <v>20</v>
      </c>
      <c r="J34" t="s">
        <v>21</v>
      </c>
      <c r="K34" t="s">
        <v>216</v>
      </c>
      <c r="L34" t="s">
        <v>217</v>
      </c>
      <c r="M34" t="s">
        <v>218</v>
      </c>
      <c r="N34">
        <v>-4.3267420000000003</v>
      </c>
      <c r="O34">
        <v>36.716600999999997</v>
      </c>
      <c r="P34" t="s">
        <v>219</v>
      </c>
      <c r="Q34" t="s">
        <v>220</v>
      </c>
      <c r="R34" t="s">
        <v>221</v>
      </c>
      <c r="S34" t="s">
        <v>732</v>
      </c>
      <c r="T34" t="s">
        <v>222</v>
      </c>
      <c r="U34" t="s">
        <v>222</v>
      </c>
      <c r="V34" s="1">
        <v>569005</v>
      </c>
    </row>
    <row r="35" spans="1:22" x14ac:dyDescent="0.3">
      <c r="A35" t="s">
        <v>633</v>
      </c>
      <c r="B35">
        <v>2019</v>
      </c>
      <c r="D35" t="s">
        <v>17</v>
      </c>
      <c r="E35" t="s">
        <v>18</v>
      </c>
      <c r="F35" t="s">
        <v>19</v>
      </c>
      <c r="G35" s="1">
        <v>390000000</v>
      </c>
      <c r="H35" s="1">
        <f t="shared" si="1"/>
        <v>390000</v>
      </c>
      <c r="I35" t="s">
        <v>20</v>
      </c>
      <c r="J35" t="s">
        <v>21</v>
      </c>
      <c r="K35" t="s">
        <v>223</v>
      </c>
      <c r="L35" t="s">
        <v>162</v>
      </c>
      <c r="M35" t="s">
        <v>224</v>
      </c>
      <c r="N35">
        <v>-6.072171</v>
      </c>
      <c r="O35">
        <v>36.619501999999997</v>
      </c>
      <c r="P35" t="s">
        <v>225</v>
      </c>
      <c r="Q35" t="s">
        <v>226</v>
      </c>
      <c r="R35" t="s">
        <v>227</v>
      </c>
      <c r="S35" t="s">
        <v>732</v>
      </c>
      <c r="T35" t="s">
        <v>228</v>
      </c>
      <c r="U35" t="s">
        <v>228</v>
      </c>
      <c r="V35" s="1">
        <v>212879</v>
      </c>
    </row>
    <row r="36" spans="1:22" x14ac:dyDescent="0.3">
      <c r="A36" t="s">
        <v>634</v>
      </c>
      <c r="B36">
        <v>2019</v>
      </c>
      <c r="D36" t="s">
        <v>17</v>
      </c>
      <c r="E36" t="s">
        <v>18</v>
      </c>
      <c r="F36" t="s">
        <v>19</v>
      </c>
      <c r="G36" s="1">
        <v>668000000</v>
      </c>
      <c r="H36" s="1">
        <f t="shared" si="1"/>
        <v>668000</v>
      </c>
      <c r="I36" t="s">
        <v>20</v>
      </c>
      <c r="J36" t="s">
        <v>21</v>
      </c>
      <c r="K36" t="s">
        <v>229</v>
      </c>
      <c r="L36" t="s">
        <v>162</v>
      </c>
      <c r="M36" t="s">
        <v>230</v>
      </c>
      <c r="N36">
        <v>-1.901605</v>
      </c>
      <c r="O36">
        <v>36.968376999999997</v>
      </c>
      <c r="P36" t="s">
        <v>231</v>
      </c>
      <c r="Q36" t="s">
        <v>165</v>
      </c>
      <c r="R36" t="s">
        <v>232</v>
      </c>
      <c r="S36" t="s">
        <v>732</v>
      </c>
      <c r="T36" t="s">
        <v>233</v>
      </c>
      <c r="U36" t="s">
        <v>233</v>
      </c>
      <c r="V36" s="1">
        <v>7757</v>
      </c>
    </row>
    <row r="37" spans="1:22" x14ac:dyDescent="0.3">
      <c r="A37" t="s">
        <v>635</v>
      </c>
      <c r="B37">
        <v>2019</v>
      </c>
      <c r="D37" t="s">
        <v>17</v>
      </c>
      <c r="E37" t="s">
        <v>18</v>
      </c>
      <c r="F37" t="s">
        <v>19</v>
      </c>
      <c r="G37" s="1">
        <v>541000000</v>
      </c>
      <c r="H37" s="1">
        <f t="shared" si="1"/>
        <v>541000</v>
      </c>
      <c r="I37" t="s">
        <v>20</v>
      </c>
      <c r="J37" t="s">
        <v>21</v>
      </c>
      <c r="K37" t="s">
        <v>234</v>
      </c>
      <c r="L37" t="s">
        <v>235</v>
      </c>
      <c r="M37" t="s">
        <v>236</v>
      </c>
      <c r="N37">
        <v>-5.7232329999999996</v>
      </c>
      <c r="O37">
        <v>43.560118000000003</v>
      </c>
      <c r="P37" t="s">
        <v>237</v>
      </c>
      <c r="Q37" t="s">
        <v>165</v>
      </c>
      <c r="R37" t="s">
        <v>238</v>
      </c>
      <c r="S37" t="s">
        <v>732</v>
      </c>
      <c r="T37" t="s">
        <v>239</v>
      </c>
      <c r="U37" t="s">
        <v>734</v>
      </c>
      <c r="V37" s="1">
        <v>1022000</v>
      </c>
    </row>
    <row r="38" spans="1:22" x14ac:dyDescent="0.3">
      <c r="A38" t="s">
        <v>636</v>
      </c>
      <c r="B38">
        <v>2019</v>
      </c>
      <c r="D38" t="s">
        <v>17</v>
      </c>
      <c r="E38" t="s">
        <v>18</v>
      </c>
      <c r="F38" t="s">
        <v>19</v>
      </c>
      <c r="G38" s="1">
        <v>643000000</v>
      </c>
      <c r="H38" s="1">
        <f t="shared" si="1"/>
        <v>643000</v>
      </c>
      <c r="I38" t="s">
        <v>20</v>
      </c>
      <c r="J38" t="s">
        <v>21</v>
      </c>
      <c r="K38" t="s">
        <v>240</v>
      </c>
      <c r="L38" t="s">
        <v>241</v>
      </c>
      <c r="M38" t="s">
        <v>242</v>
      </c>
      <c r="N38">
        <v>-5.6198269999999999</v>
      </c>
      <c r="O38">
        <v>42.799393999999999</v>
      </c>
      <c r="P38" t="s">
        <v>243</v>
      </c>
      <c r="Q38" t="s">
        <v>165</v>
      </c>
      <c r="R38" t="s">
        <v>244</v>
      </c>
      <c r="S38" t="s">
        <v>732</v>
      </c>
      <c r="T38" t="s">
        <v>245</v>
      </c>
      <c r="U38" t="s">
        <v>245</v>
      </c>
      <c r="V38" s="1">
        <v>3884</v>
      </c>
    </row>
    <row r="39" spans="1:22" x14ac:dyDescent="0.3">
      <c r="A39" t="s">
        <v>637</v>
      </c>
      <c r="B39">
        <v>2019</v>
      </c>
      <c r="D39" t="s">
        <v>17</v>
      </c>
      <c r="E39" t="s">
        <v>18</v>
      </c>
      <c r="F39" t="s">
        <v>19</v>
      </c>
      <c r="G39" s="1">
        <v>383000000</v>
      </c>
      <c r="H39" s="1">
        <f t="shared" si="1"/>
        <v>383000</v>
      </c>
      <c r="I39" t="s">
        <v>20</v>
      </c>
      <c r="J39" t="s">
        <v>21</v>
      </c>
      <c r="K39" t="s">
        <v>246</v>
      </c>
      <c r="L39" t="s">
        <v>247</v>
      </c>
      <c r="M39" t="s">
        <v>248</v>
      </c>
      <c r="N39">
        <v>-4.1625949999999996</v>
      </c>
      <c r="O39">
        <v>42.874834999999997</v>
      </c>
      <c r="P39" t="s">
        <v>249</v>
      </c>
      <c r="Q39" t="s">
        <v>165</v>
      </c>
      <c r="R39" t="s">
        <v>250</v>
      </c>
      <c r="S39" t="s">
        <v>732</v>
      </c>
      <c r="T39" t="s">
        <v>251</v>
      </c>
      <c r="U39" t="s">
        <v>251</v>
      </c>
      <c r="V39" s="1">
        <v>951</v>
      </c>
    </row>
    <row r="40" spans="1:22" x14ac:dyDescent="0.3">
      <c r="A40" t="s">
        <v>638</v>
      </c>
      <c r="B40">
        <v>2019</v>
      </c>
      <c r="D40" t="s">
        <v>17</v>
      </c>
      <c r="E40" t="s">
        <v>18</v>
      </c>
      <c r="F40" t="s">
        <v>19</v>
      </c>
      <c r="G40" s="1">
        <v>699000000</v>
      </c>
      <c r="H40" s="1">
        <f t="shared" si="1"/>
        <v>699000</v>
      </c>
      <c r="I40" t="s">
        <v>20</v>
      </c>
      <c r="J40" t="s">
        <v>21</v>
      </c>
      <c r="K40" t="s">
        <v>252</v>
      </c>
      <c r="L40" t="s">
        <v>253</v>
      </c>
      <c r="M40" t="s">
        <v>254</v>
      </c>
      <c r="N40">
        <v>0.54526600000000003</v>
      </c>
      <c r="O40">
        <v>40.578910999999998</v>
      </c>
      <c r="P40" t="s">
        <v>255</v>
      </c>
      <c r="Q40" t="s">
        <v>165</v>
      </c>
      <c r="R40" t="s">
        <v>256</v>
      </c>
      <c r="S40" t="s">
        <v>732</v>
      </c>
      <c r="T40" t="s">
        <v>257</v>
      </c>
      <c r="U40" t="s">
        <v>257</v>
      </c>
      <c r="V40" s="1">
        <v>9402</v>
      </c>
    </row>
    <row r="41" spans="1:22" x14ac:dyDescent="0.3">
      <c r="A41" t="s">
        <v>639</v>
      </c>
      <c r="B41">
        <v>2019</v>
      </c>
      <c r="D41" t="s">
        <v>17</v>
      </c>
      <c r="E41" t="s">
        <v>18</v>
      </c>
      <c r="F41" t="s">
        <v>19</v>
      </c>
      <c r="G41" s="1">
        <v>560000000</v>
      </c>
      <c r="H41" s="1">
        <f t="shared" si="1"/>
        <v>560000</v>
      </c>
      <c r="I41" t="s">
        <v>20</v>
      </c>
      <c r="J41" t="s">
        <v>21</v>
      </c>
      <c r="K41" t="s">
        <v>258</v>
      </c>
      <c r="L41" t="s">
        <v>253</v>
      </c>
      <c r="M41" t="s">
        <v>253</v>
      </c>
      <c r="N41">
        <v>-3.7418</v>
      </c>
      <c r="O41">
        <v>39.938200000000002</v>
      </c>
      <c r="P41" t="s">
        <v>259</v>
      </c>
      <c r="Q41" t="s">
        <v>260</v>
      </c>
      <c r="R41" t="s">
        <v>261</v>
      </c>
      <c r="S41" t="s">
        <v>732</v>
      </c>
      <c r="T41" t="s">
        <v>262</v>
      </c>
      <c r="U41" t="s">
        <v>262</v>
      </c>
      <c r="V41" s="1">
        <v>5083</v>
      </c>
    </row>
    <row r="42" spans="1:22" x14ac:dyDescent="0.3">
      <c r="A42" t="s">
        <v>640</v>
      </c>
      <c r="B42">
        <v>2019</v>
      </c>
      <c r="D42" t="s">
        <v>17</v>
      </c>
      <c r="E42" t="s">
        <v>18</v>
      </c>
      <c r="F42" t="s">
        <v>19</v>
      </c>
      <c r="G42" s="1">
        <v>337000000</v>
      </c>
      <c r="H42" s="1">
        <f t="shared" si="1"/>
        <v>337000</v>
      </c>
      <c r="I42" t="s">
        <v>20</v>
      </c>
      <c r="J42" t="s">
        <v>21</v>
      </c>
      <c r="K42" t="s">
        <v>263</v>
      </c>
      <c r="L42" t="s">
        <v>253</v>
      </c>
      <c r="M42" t="s">
        <v>264</v>
      </c>
      <c r="N42">
        <v>-1.4883649999999999</v>
      </c>
      <c r="O42">
        <v>41.475622000000001</v>
      </c>
      <c r="P42" t="s">
        <v>265</v>
      </c>
      <c r="Q42" t="s">
        <v>165</v>
      </c>
      <c r="R42" t="s">
        <v>266</v>
      </c>
      <c r="S42" t="s">
        <v>732</v>
      </c>
      <c r="T42" t="s">
        <v>267</v>
      </c>
      <c r="U42" t="s">
        <v>267</v>
      </c>
      <c r="V42" s="1">
        <v>1097</v>
      </c>
    </row>
    <row r="43" spans="1:22" x14ac:dyDescent="0.3">
      <c r="A43" t="s">
        <v>641</v>
      </c>
      <c r="B43">
        <v>2019</v>
      </c>
      <c r="D43" t="s">
        <v>17</v>
      </c>
      <c r="E43" t="s">
        <v>18</v>
      </c>
      <c r="F43" t="s">
        <v>19</v>
      </c>
      <c r="G43" s="1">
        <v>500000000</v>
      </c>
      <c r="H43" s="1">
        <f t="shared" si="1"/>
        <v>500000</v>
      </c>
      <c r="I43" t="s">
        <v>20</v>
      </c>
      <c r="J43" t="s">
        <v>21</v>
      </c>
      <c r="K43" t="s">
        <v>268</v>
      </c>
      <c r="L43" t="s">
        <v>253</v>
      </c>
      <c r="M43" t="s">
        <v>269</v>
      </c>
      <c r="N43">
        <v>-0.54184500000000002</v>
      </c>
      <c r="O43">
        <v>38.378608</v>
      </c>
      <c r="P43" t="s">
        <v>270</v>
      </c>
      <c r="Q43" t="s">
        <v>165</v>
      </c>
      <c r="R43" t="s">
        <v>271</v>
      </c>
      <c r="S43" t="s">
        <v>732</v>
      </c>
      <c r="T43" t="s">
        <v>272</v>
      </c>
      <c r="U43" t="s">
        <v>272</v>
      </c>
      <c r="V43" s="1">
        <v>331577</v>
      </c>
    </row>
    <row r="44" spans="1:22" x14ac:dyDescent="0.3">
      <c r="A44" t="s">
        <v>642</v>
      </c>
      <c r="B44">
        <v>2019</v>
      </c>
      <c r="D44" t="s">
        <v>17</v>
      </c>
      <c r="E44" t="s">
        <v>18</v>
      </c>
      <c r="F44" t="s">
        <v>19</v>
      </c>
      <c r="G44" s="1">
        <v>766000000</v>
      </c>
      <c r="H44" s="1">
        <f t="shared" si="1"/>
        <v>766000</v>
      </c>
      <c r="I44" t="s">
        <v>20</v>
      </c>
      <c r="J44" t="s">
        <v>21</v>
      </c>
      <c r="K44" t="s">
        <v>273</v>
      </c>
      <c r="L44" t="s">
        <v>187</v>
      </c>
      <c r="M44" t="s">
        <v>274</v>
      </c>
      <c r="N44">
        <v>1.663019</v>
      </c>
      <c r="O44">
        <v>41.314664999999998</v>
      </c>
      <c r="P44" t="s">
        <v>275</v>
      </c>
      <c r="Q44" t="s">
        <v>165</v>
      </c>
      <c r="R44" t="s">
        <v>276</v>
      </c>
      <c r="S44" t="s">
        <v>732</v>
      </c>
      <c r="T44" t="s">
        <v>277</v>
      </c>
      <c r="U44" t="s">
        <v>277</v>
      </c>
      <c r="V44" s="1">
        <v>7503</v>
      </c>
    </row>
    <row r="45" spans="1:22" x14ac:dyDescent="0.3">
      <c r="A45" t="s">
        <v>643</v>
      </c>
      <c r="B45">
        <v>2019</v>
      </c>
      <c r="D45" t="s">
        <v>17</v>
      </c>
      <c r="E45" t="s">
        <v>18</v>
      </c>
      <c r="F45" t="s">
        <v>19</v>
      </c>
      <c r="G45" s="1">
        <v>479000000</v>
      </c>
      <c r="H45" s="1">
        <f t="shared" si="1"/>
        <v>479000</v>
      </c>
      <c r="I45" t="s">
        <v>20</v>
      </c>
      <c r="J45" t="s">
        <v>21</v>
      </c>
      <c r="K45" t="s">
        <v>278</v>
      </c>
      <c r="L45" t="s">
        <v>187</v>
      </c>
      <c r="M45" t="s">
        <v>279</v>
      </c>
      <c r="N45">
        <v>1.8618980000000001</v>
      </c>
      <c r="O45">
        <v>41.242654000000002</v>
      </c>
      <c r="P45" t="s">
        <v>280</v>
      </c>
      <c r="Q45" t="s">
        <v>281</v>
      </c>
      <c r="R45" t="s">
        <v>282</v>
      </c>
      <c r="S45" t="s">
        <v>732</v>
      </c>
      <c r="T45" t="s">
        <v>283</v>
      </c>
      <c r="U45" t="s">
        <v>283</v>
      </c>
      <c r="V45" s="1">
        <v>28969</v>
      </c>
    </row>
    <row r="46" spans="1:22" x14ac:dyDescent="0.3">
      <c r="A46" t="s">
        <v>644</v>
      </c>
      <c r="B46">
        <v>2019</v>
      </c>
      <c r="D46" t="s">
        <v>17</v>
      </c>
      <c r="E46" t="s">
        <v>18</v>
      </c>
      <c r="F46" t="s">
        <v>19</v>
      </c>
      <c r="G46" s="1">
        <v>269000000</v>
      </c>
      <c r="H46" s="1">
        <f t="shared" si="1"/>
        <v>269000</v>
      </c>
      <c r="I46" t="s">
        <v>20</v>
      </c>
      <c r="J46" t="s">
        <v>21</v>
      </c>
      <c r="K46" t="s">
        <v>284</v>
      </c>
      <c r="L46" t="s">
        <v>217</v>
      </c>
      <c r="M46" t="s">
        <v>285</v>
      </c>
      <c r="N46">
        <v>-2.8844690000000002</v>
      </c>
      <c r="O46">
        <v>43.205201000000002</v>
      </c>
      <c r="P46" t="s">
        <v>286</v>
      </c>
      <c r="Q46" t="s">
        <v>165</v>
      </c>
      <c r="R46" t="s">
        <v>287</v>
      </c>
      <c r="S46" t="s">
        <v>732</v>
      </c>
      <c r="T46" t="s">
        <v>288</v>
      </c>
      <c r="U46" t="s">
        <v>288</v>
      </c>
      <c r="V46" s="1">
        <v>12230</v>
      </c>
    </row>
    <row r="47" spans="1:22" x14ac:dyDescent="0.3">
      <c r="A47" t="s">
        <v>645</v>
      </c>
      <c r="B47">
        <v>2019</v>
      </c>
      <c r="D47" t="s">
        <v>17</v>
      </c>
      <c r="E47" t="s">
        <v>18</v>
      </c>
      <c r="F47" t="s">
        <v>19</v>
      </c>
      <c r="G47" s="1">
        <v>465000000</v>
      </c>
      <c r="H47" s="1">
        <f t="shared" si="1"/>
        <v>465000</v>
      </c>
      <c r="I47" t="s">
        <v>20</v>
      </c>
      <c r="J47" t="s">
        <v>21</v>
      </c>
      <c r="K47" t="s">
        <v>289</v>
      </c>
      <c r="L47" t="s">
        <v>290</v>
      </c>
      <c r="M47" t="s">
        <v>291</v>
      </c>
      <c r="N47">
        <v>-2.7714219999999998</v>
      </c>
      <c r="O47">
        <v>43.206874999999997</v>
      </c>
      <c r="P47" t="s">
        <v>292</v>
      </c>
      <c r="Q47" t="s">
        <v>293</v>
      </c>
      <c r="R47" t="s">
        <v>294</v>
      </c>
      <c r="S47" t="s">
        <v>732</v>
      </c>
      <c r="T47" t="s">
        <v>295</v>
      </c>
      <c r="U47" t="s">
        <v>735</v>
      </c>
      <c r="V47" s="1">
        <v>3521</v>
      </c>
    </row>
    <row r="48" spans="1:22" x14ac:dyDescent="0.3">
      <c r="A48" t="s">
        <v>646</v>
      </c>
      <c r="B48">
        <v>2019</v>
      </c>
      <c r="D48" t="s">
        <v>17</v>
      </c>
      <c r="E48" t="s">
        <v>18</v>
      </c>
      <c r="F48" t="s">
        <v>19</v>
      </c>
      <c r="G48" s="1">
        <v>489000000</v>
      </c>
      <c r="H48" s="1">
        <f t="shared" si="1"/>
        <v>489000</v>
      </c>
      <c r="I48" t="s">
        <v>20</v>
      </c>
      <c r="J48" t="s">
        <v>21</v>
      </c>
      <c r="K48" t="s">
        <v>296</v>
      </c>
      <c r="L48" t="s">
        <v>297</v>
      </c>
      <c r="M48" t="s">
        <v>298</v>
      </c>
      <c r="N48">
        <v>0.99012999999999995</v>
      </c>
      <c r="O48">
        <v>43.18562</v>
      </c>
      <c r="P48" t="s">
        <v>299</v>
      </c>
      <c r="R48" t="s">
        <v>300</v>
      </c>
      <c r="S48" t="s">
        <v>736</v>
      </c>
      <c r="T48" t="s">
        <v>301</v>
      </c>
      <c r="U48" t="s">
        <v>301</v>
      </c>
      <c r="V48" s="1">
        <v>2328</v>
      </c>
    </row>
    <row r="49" spans="1:22" x14ac:dyDescent="0.3">
      <c r="A49" t="s">
        <v>647</v>
      </c>
      <c r="B49">
        <v>2019</v>
      </c>
      <c r="D49" t="s">
        <v>17</v>
      </c>
      <c r="E49" t="s">
        <v>18</v>
      </c>
      <c r="F49" t="s">
        <v>19</v>
      </c>
      <c r="G49" s="1">
        <v>591000000</v>
      </c>
      <c r="H49" s="1">
        <f t="shared" si="1"/>
        <v>591000</v>
      </c>
      <c r="I49" t="s">
        <v>20</v>
      </c>
      <c r="J49" t="s">
        <v>21</v>
      </c>
      <c r="K49" t="s">
        <v>302</v>
      </c>
      <c r="L49" t="s">
        <v>303</v>
      </c>
      <c r="M49" t="s">
        <v>304</v>
      </c>
      <c r="N49">
        <v>-0.14459</v>
      </c>
      <c r="O49">
        <v>46.806989999999999</v>
      </c>
      <c r="P49" t="s">
        <v>305</v>
      </c>
      <c r="R49" t="s">
        <v>306</v>
      </c>
      <c r="S49" t="s">
        <v>736</v>
      </c>
      <c r="T49" t="s">
        <v>307</v>
      </c>
      <c r="U49" t="s">
        <v>307</v>
      </c>
      <c r="V49" s="1">
        <v>3003</v>
      </c>
    </row>
    <row r="50" spans="1:22" x14ac:dyDescent="0.3">
      <c r="A50" t="s">
        <v>648</v>
      </c>
      <c r="B50">
        <v>2019</v>
      </c>
      <c r="D50" t="s">
        <v>17</v>
      </c>
      <c r="E50" t="s">
        <v>18</v>
      </c>
      <c r="F50" t="s">
        <v>19</v>
      </c>
      <c r="G50" s="1">
        <v>483000000</v>
      </c>
      <c r="H50" s="1">
        <f t="shared" si="1"/>
        <v>483000</v>
      </c>
      <c r="I50" t="s">
        <v>20</v>
      </c>
      <c r="J50" t="s">
        <v>21</v>
      </c>
      <c r="K50" t="s">
        <v>308</v>
      </c>
      <c r="L50" t="s">
        <v>303</v>
      </c>
      <c r="M50" t="s">
        <v>309</v>
      </c>
      <c r="N50">
        <v>-1.32148</v>
      </c>
      <c r="O50">
        <v>47.707149999999999</v>
      </c>
      <c r="P50" t="s">
        <v>310</v>
      </c>
      <c r="R50" t="s">
        <v>311</v>
      </c>
      <c r="S50" t="s">
        <v>736</v>
      </c>
      <c r="T50" t="s">
        <v>312</v>
      </c>
      <c r="U50" t="s">
        <v>312</v>
      </c>
      <c r="V50" s="1">
        <v>1011</v>
      </c>
    </row>
    <row r="51" spans="1:22" x14ac:dyDescent="0.3">
      <c r="A51" t="s">
        <v>649</v>
      </c>
      <c r="B51">
        <v>2019</v>
      </c>
      <c r="D51" t="s">
        <v>17</v>
      </c>
      <c r="E51" t="s">
        <v>18</v>
      </c>
      <c r="F51" t="s">
        <v>19</v>
      </c>
      <c r="G51" s="1">
        <v>272000000</v>
      </c>
      <c r="H51" s="1">
        <f t="shared" si="1"/>
        <v>272000</v>
      </c>
      <c r="I51" t="s">
        <v>20</v>
      </c>
      <c r="J51" t="s">
        <v>21</v>
      </c>
      <c r="K51" t="s">
        <v>313</v>
      </c>
      <c r="L51" t="s">
        <v>303</v>
      </c>
      <c r="M51" t="s">
        <v>314</v>
      </c>
      <c r="N51">
        <v>1.9919500000000001</v>
      </c>
      <c r="O51">
        <v>47.925310000000003</v>
      </c>
      <c r="P51" t="s">
        <v>315</v>
      </c>
      <c r="R51" t="s">
        <v>316</v>
      </c>
      <c r="S51" t="s">
        <v>736</v>
      </c>
      <c r="T51" t="s">
        <v>317</v>
      </c>
      <c r="U51" t="s">
        <v>317</v>
      </c>
      <c r="V51" s="1">
        <v>763</v>
      </c>
    </row>
    <row r="52" spans="1:22" x14ac:dyDescent="0.3">
      <c r="A52" t="s">
        <v>650</v>
      </c>
      <c r="B52">
        <v>2019</v>
      </c>
      <c r="D52" t="s">
        <v>17</v>
      </c>
      <c r="E52" t="s">
        <v>18</v>
      </c>
      <c r="F52" t="s">
        <v>19</v>
      </c>
      <c r="G52" s="1">
        <v>378000000</v>
      </c>
      <c r="H52" s="1">
        <f t="shared" si="1"/>
        <v>378000</v>
      </c>
      <c r="I52" t="s">
        <v>20</v>
      </c>
      <c r="J52" t="s">
        <v>21</v>
      </c>
      <c r="K52" t="s">
        <v>318</v>
      </c>
      <c r="L52" t="s">
        <v>303</v>
      </c>
      <c r="M52" t="s">
        <v>319</v>
      </c>
      <c r="N52">
        <v>-1.19</v>
      </c>
      <c r="O52">
        <v>47.081400000000002</v>
      </c>
      <c r="P52" t="s">
        <v>320</v>
      </c>
      <c r="R52" t="s">
        <v>321</v>
      </c>
      <c r="S52" t="s">
        <v>736</v>
      </c>
      <c r="T52" t="s">
        <v>322</v>
      </c>
      <c r="U52" t="s">
        <v>322</v>
      </c>
      <c r="V52" s="1">
        <v>658</v>
      </c>
    </row>
    <row r="53" spans="1:22" x14ac:dyDescent="0.3">
      <c r="A53" t="s">
        <v>651</v>
      </c>
      <c r="B53">
        <v>2019</v>
      </c>
      <c r="D53" t="s">
        <v>17</v>
      </c>
      <c r="E53" t="s">
        <v>18</v>
      </c>
      <c r="F53" t="s">
        <v>19</v>
      </c>
      <c r="G53" s="1">
        <v>305000000</v>
      </c>
      <c r="H53" s="1">
        <f t="shared" si="1"/>
        <v>305000</v>
      </c>
      <c r="I53" t="s">
        <v>20</v>
      </c>
      <c r="J53" t="s">
        <v>21</v>
      </c>
      <c r="K53" t="s">
        <v>323</v>
      </c>
      <c r="L53" t="s">
        <v>324</v>
      </c>
      <c r="M53" t="s">
        <v>325</v>
      </c>
      <c r="N53">
        <v>-0.27351999999999999</v>
      </c>
      <c r="O53">
        <v>49.221919999999997</v>
      </c>
      <c r="P53" t="s">
        <v>326</v>
      </c>
      <c r="R53" t="s">
        <v>327</v>
      </c>
      <c r="S53" t="s">
        <v>736</v>
      </c>
      <c r="T53" t="s">
        <v>328</v>
      </c>
      <c r="U53" t="s">
        <v>328</v>
      </c>
      <c r="V53" s="1">
        <v>1776</v>
      </c>
    </row>
    <row r="54" spans="1:22" x14ac:dyDescent="0.3">
      <c r="A54" t="s">
        <v>652</v>
      </c>
      <c r="B54">
        <v>2019</v>
      </c>
      <c r="D54" t="s">
        <v>17</v>
      </c>
      <c r="E54" t="s">
        <v>18</v>
      </c>
      <c r="F54" t="s">
        <v>19</v>
      </c>
      <c r="G54" s="1">
        <v>250000000</v>
      </c>
      <c r="H54" s="1">
        <f t="shared" si="1"/>
        <v>250000</v>
      </c>
      <c r="I54" t="s">
        <v>20</v>
      </c>
      <c r="J54" t="s">
        <v>21</v>
      </c>
      <c r="K54" t="s">
        <v>329</v>
      </c>
      <c r="L54" t="s">
        <v>330</v>
      </c>
      <c r="M54" t="s">
        <v>331</v>
      </c>
      <c r="N54">
        <v>3.4276599999999999</v>
      </c>
      <c r="O54">
        <v>46.25535</v>
      </c>
      <c r="P54" t="s">
        <v>332</v>
      </c>
      <c r="R54" t="s">
        <v>333</v>
      </c>
      <c r="S54" t="s">
        <v>736</v>
      </c>
      <c r="T54" t="s">
        <v>334</v>
      </c>
      <c r="U54" t="s">
        <v>334</v>
      </c>
      <c r="V54" s="1">
        <v>446</v>
      </c>
    </row>
    <row r="55" spans="1:22" x14ac:dyDescent="0.3">
      <c r="A55" t="s">
        <v>653</v>
      </c>
      <c r="B55">
        <v>2019</v>
      </c>
      <c r="D55" t="s">
        <v>17</v>
      </c>
      <c r="E55" t="s">
        <v>18</v>
      </c>
      <c r="F55" t="s">
        <v>19</v>
      </c>
      <c r="G55" s="1">
        <v>182000000</v>
      </c>
      <c r="H55" s="1">
        <f t="shared" si="1"/>
        <v>182000</v>
      </c>
      <c r="I55" t="s">
        <v>20</v>
      </c>
      <c r="J55" t="s">
        <v>21</v>
      </c>
      <c r="K55" t="s">
        <v>335</v>
      </c>
      <c r="L55" t="s">
        <v>336</v>
      </c>
      <c r="M55" t="s">
        <v>337</v>
      </c>
      <c r="N55">
        <v>5.5507799999999996</v>
      </c>
      <c r="O55">
        <v>47.135060000000003</v>
      </c>
      <c r="P55" t="s">
        <v>338</v>
      </c>
      <c r="R55" t="s">
        <v>339</v>
      </c>
      <c r="S55" t="s">
        <v>736</v>
      </c>
      <c r="T55" t="s">
        <v>340</v>
      </c>
      <c r="U55" t="s">
        <v>340</v>
      </c>
      <c r="V55" s="1">
        <v>644</v>
      </c>
    </row>
    <row r="56" spans="1:22" x14ac:dyDescent="0.3">
      <c r="A56" t="s">
        <v>654</v>
      </c>
      <c r="B56">
        <v>2019</v>
      </c>
      <c r="D56" t="s">
        <v>17</v>
      </c>
      <c r="E56" t="s">
        <v>18</v>
      </c>
      <c r="F56" t="s">
        <v>19</v>
      </c>
      <c r="G56" s="1">
        <v>774000000</v>
      </c>
      <c r="H56" s="1">
        <f t="shared" si="1"/>
        <v>774000</v>
      </c>
      <c r="I56" t="s">
        <v>20</v>
      </c>
      <c r="J56" t="s">
        <v>21</v>
      </c>
      <c r="K56" t="s">
        <v>341</v>
      </c>
      <c r="L56" t="s">
        <v>303</v>
      </c>
      <c r="M56" t="s">
        <v>342</v>
      </c>
      <c r="N56">
        <v>4.5838400000000004</v>
      </c>
      <c r="O56">
        <v>48.724310000000003</v>
      </c>
      <c r="P56" t="s">
        <v>343</v>
      </c>
      <c r="R56" t="s">
        <v>344</v>
      </c>
      <c r="S56" t="s">
        <v>736</v>
      </c>
      <c r="T56" t="s">
        <v>345</v>
      </c>
      <c r="U56" t="s">
        <v>345</v>
      </c>
      <c r="V56" s="1">
        <v>12805</v>
      </c>
    </row>
    <row r="57" spans="1:22" x14ac:dyDescent="0.3">
      <c r="A57" t="s">
        <v>655</v>
      </c>
      <c r="B57">
        <v>2019</v>
      </c>
      <c r="D57" t="s">
        <v>17</v>
      </c>
      <c r="E57" t="s">
        <v>18</v>
      </c>
      <c r="F57" t="s">
        <v>19</v>
      </c>
      <c r="G57" s="1">
        <v>106000000</v>
      </c>
      <c r="H57" s="1">
        <f t="shared" si="1"/>
        <v>106000</v>
      </c>
      <c r="I57" t="s">
        <v>20</v>
      </c>
      <c r="J57" t="s">
        <v>21</v>
      </c>
      <c r="K57" t="s">
        <v>346</v>
      </c>
      <c r="L57" t="s">
        <v>303</v>
      </c>
      <c r="M57" t="s">
        <v>347</v>
      </c>
      <c r="N57">
        <v>4.7522099999999998</v>
      </c>
      <c r="O57">
        <v>44.645269999999996</v>
      </c>
      <c r="P57" t="s">
        <v>348</v>
      </c>
      <c r="R57" t="s">
        <v>349</v>
      </c>
      <c r="S57" t="s">
        <v>736</v>
      </c>
      <c r="T57" t="s">
        <v>350</v>
      </c>
      <c r="U57" t="s">
        <v>350</v>
      </c>
      <c r="V57" s="1">
        <v>2976</v>
      </c>
    </row>
    <row r="58" spans="1:22" x14ac:dyDescent="0.3">
      <c r="A58" t="s">
        <v>656</v>
      </c>
      <c r="B58">
        <v>2019</v>
      </c>
      <c r="D58" t="s">
        <v>17</v>
      </c>
      <c r="E58" t="s">
        <v>18</v>
      </c>
      <c r="F58" t="s">
        <v>19</v>
      </c>
      <c r="G58" s="1">
        <v>598000000</v>
      </c>
      <c r="H58" s="1">
        <f t="shared" si="1"/>
        <v>598000</v>
      </c>
      <c r="I58" t="s">
        <v>20</v>
      </c>
      <c r="J58" t="s">
        <v>21</v>
      </c>
      <c r="K58" t="s">
        <v>351</v>
      </c>
      <c r="L58" t="s">
        <v>352</v>
      </c>
      <c r="M58" t="s">
        <v>353</v>
      </c>
      <c r="N58">
        <v>4.6819100000000002</v>
      </c>
      <c r="O58">
        <v>44.544960000000003</v>
      </c>
      <c r="P58" t="s">
        <v>354</v>
      </c>
      <c r="R58" t="s">
        <v>355</v>
      </c>
      <c r="S58" t="s">
        <v>736</v>
      </c>
      <c r="T58" t="s">
        <v>356</v>
      </c>
      <c r="U58" t="s">
        <v>356</v>
      </c>
      <c r="V58" s="1">
        <v>8449</v>
      </c>
    </row>
    <row r="59" spans="1:22" s="4" customFormat="1" x14ac:dyDescent="0.3">
      <c r="A59" s="4" t="s">
        <v>657</v>
      </c>
      <c r="B59" s="4">
        <v>2019</v>
      </c>
      <c r="D59" s="4" t="s">
        <v>17</v>
      </c>
      <c r="E59" s="4" t="s">
        <v>18</v>
      </c>
      <c r="F59" s="4" t="s">
        <v>19</v>
      </c>
      <c r="G59" s="2">
        <v>909000000</v>
      </c>
      <c r="H59" s="2">
        <f t="shared" si="1"/>
        <v>909000</v>
      </c>
      <c r="I59" s="4" t="s">
        <v>20</v>
      </c>
      <c r="J59" s="4" t="s">
        <v>21</v>
      </c>
      <c r="K59" s="4" t="s">
        <v>357</v>
      </c>
      <c r="L59" s="4" t="s">
        <v>330</v>
      </c>
      <c r="M59" s="4" t="s">
        <v>358</v>
      </c>
      <c r="N59" s="4">
        <v>2.1261399999999999</v>
      </c>
      <c r="O59" s="4">
        <v>43.231119999999997</v>
      </c>
      <c r="P59" s="4" t="s">
        <v>359</v>
      </c>
      <c r="R59" s="4" t="s">
        <v>360</v>
      </c>
      <c r="S59" s="4" t="s">
        <v>736</v>
      </c>
      <c r="T59" s="4" t="s">
        <v>361</v>
      </c>
      <c r="U59" s="4" t="s">
        <v>361</v>
      </c>
      <c r="V59" s="2">
        <v>3387</v>
      </c>
    </row>
    <row r="60" spans="1:22" x14ac:dyDescent="0.3">
      <c r="A60" t="s">
        <v>658</v>
      </c>
      <c r="B60">
        <v>2019</v>
      </c>
      <c r="D60" t="s">
        <v>17</v>
      </c>
      <c r="E60" t="s">
        <v>18</v>
      </c>
      <c r="F60" t="s">
        <v>19</v>
      </c>
      <c r="G60" s="1">
        <v>218000000</v>
      </c>
      <c r="H60" s="1">
        <f t="shared" si="1"/>
        <v>218000</v>
      </c>
      <c r="I60" t="s">
        <v>20</v>
      </c>
      <c r="J60" t="s">
        <v>21</v>
      </c>
      <c r="K60" t="s">
        <v>362</v>
      </c>
      <c r="L60" t="s">
        <v>330</v>
      </c>
      <c r="M60" t="s">
        <v>363</v>
      </c>
      <c r="N60">
        <v>2.1392699999999998</v>
      </c>
      <c r="O60">
        <v>48.917369999999998</v>
      </c>
      <c r="P60" t="s">
        <v>364</v>
      </c>
      <c r="R60" t="s">
        <v>365</v>
      </c>
      <c r="S60" t="s">
        <v>736</v>
      </c>
      <c r="T60" t="s">
        <v>366</v>
      </c>
      <c r="U60" t="s">
        <v>366</v>
      </c>
      <c r="V60" s="1">
        <v>15738</v>
      </c>
    </row>
    <row r="61" spans="1:22" x14ac:dyDescent="0.3">
      <c r="A61" t="s">
        <v>659</v>
      </c>
      <c r="B61">
        <v>2019</v>
      </c>
      <c r="D61" t="s">
        <v>17</v>
      </c>
      <c r="E61" t="s">
        <v>18</v>
      </c>
      <c r="F61" t="s">
        <v>19</v>
      </c>
      <c r="G61" s="1">
        <v>468000000</v>
      </c>
      <c r="H61" s="1">
        <f t="shared" si="1"/>
        <v>468000</v>
      </c>
      <c r="I61" t="s">
        <v>20</v>
      </c>
      <c r="J61" t="s">
        <v>21</v>
      </c>
      <c r="K61" t="s">
        <v>367</v>
      </c>
      <c r="L61" t="s">
        <v>352</v>
      </c>
      <c r="M61" t="s">
        <v>368</v>
      </c>
      <c r="N61">
        <v>-2.2482000000000002</v>
      </c>
      <c r="O61">
        <v>47.31127</v>
      </c>
      <c r="P61" t="s">
        <v>369</v>
      </c>
      <c r="R61" t="s">
        <v>370</v>
      </c>
      <c r="S61" t="s">
        <v>736</v>
      </c>
      <c r="T61" t="s">
        <v>371</v>
      </c>
      <c r="U61" t="s">
        <v>371</v>
      </c>
      <c r="V61" s="1">
        <v>10721</v>
      </c>
    </row>
    <row r="62" spans="1:22" x14ac:dyDescent="0.3">
      <c r="A62" t="s">
        <v>660</v>
      </c>
      <c r="B62">
        <v>2019</v>
      </c>
      <c r="D62" t="s">
        <v>17</v>
      </c>
      <c r="E62" t="s">
        <v>18</v>
      </c>
      <c r="F62" t="s">
        <v>19</v>
      </c>
      <c r="G62" s="1">
        <v>317000000</v>
      </c>
      <c r="H62" s="1">
        <f t="shared" si="1"/>
        <v>317000</v>
      </c>
      <c r="I62" t="s">
        <v>20</v>
      </c>
      <c r="J62" t="s">
        <v>21</v>
      </c>
      <c r="K62" t="s">
        <v>372</v>
      </c>
      <c r="L62" t="s">
        <v>330</v>
      </c>
      <c r="M62" t="s">
        <v>373</v>
      </c>
      <c r="N62">
        <v>3.92761</v>
      </c>
      <c r="O62">
        <v>50.259950000000003</v>
      </c>
      <c r="P62" t="s">
        <v>374</v>
      </c>
      <c r="R62" t="s">
        <v>375</v>
      </c>
      <c r="S62" t="s">
        <v>736</v>
      </c>
      <c r="T62" t="s">
        <v>376</v>
      </c>
      <c r="U62" t="s">
        <v>376</v>
      </c>
      <c r="V62" s="1">
        <v>843</v>
      </c>
    </row>
    <row r="63" spans="1:22" x14ac:dyDescent="0.3">
      <c r="A63" t="s">
        <v>661</v>
      </c>
      <c r="B63">
        <v>2019</v>
      </c>
      <c r="D63" t="s">
        <v>17</v>
      </c>
      <c r="E63" t="s">
        <v>18</v>
      </c>
      <c r="F63" t="s">
        <v>19</v>
      </c>
      <c r="G63" s="1">
        <v>534000000</v>
      </c>
      <c r="H63" s="1">
        <f t="shared" si="1"/>
        <v>534000</v>
      </c>
      <c r="I63" t="s">
        <v>20</v>
      </c>
      <c r="J63" t="s">
        <v>21</v>
      </c>
      <c r="K63" t="s">
        <v>377</v>
      </c>
      <c r="L63" t="s">
        <v>337</v>
      </c>
      <c r="M63" t="s">
        <v>378</v>
      </c>
      <c r="N63">
        <v>4.3403799999999997</v>
      </c>
      <c r="O63">
        <v>49.038969999999999</v>
      </c>
      <c r="P63" t="s">
        <v>379</v>
      </c>
      <c r="R63" t="s">
        <v>380</v>
      </c>
      <c r="S63" t="s">
        <v>736</v>
      </c>
      <c r="T63" t="s">
        <v>381</v>
      </c>
      <c r="U63" t="s">
        <v>381</v>
      </c>
      <c r="V63" s="1">
        <v>505</v>
      </c>
    </row>
    <row r="64" spans="1:22" s="4" customFormat="1" x14ac:dyDescent="0.3">
      <c r="A64" s="4" t="s">
        <v>662</v>
      </c>
      <c r="B64" s="4">
        <v>2019</v>
      </c>
      <c r="D64" s="4" t="s">
        <v>17</v>
      </c>
      <c r="E64" s="4" t="s">
        <v>18</v>
      </c>
      <c r="F64" s="4" t="s">
        <v>19</v>
      </c>
      <c r="G64" s="2">
        <v>1019000000</v>
      </c>
      <c r="H64" s="2">
        <f t="shared" si="1"/>
        <v>1019000</v>
      </c>
      <c r="I64" s="4" t="s">
        <v>20</v>
      </c>
      <c r="J64" s="4" t="s">
        <v>21</v>
      </c>
      <c r="K64" s="4" t="s">
        <v>382</v>
      </c>
      <c r="L64" s="4" t="s">
        <v>383</v>
      </c>
      <c r="M64" s="4" t="s">
        <v>384</v>
      </c>
      <c r="N64" s="4">
        <v>-1.0358799999999999</v>
      </c>
      <c r="O64" s="4">
        <v>48.108719999999998</v>
      </c>
      <c r="P64" s="4" t="s">
        <v>385</v>
      </c>
      <c r="R64" s="4" t="s">
        <v>386</v>
      </c>
      <c r="S64" s="4" t="s">
        <v>736</v>
      </c>
      <c r="T64" s="4" t="s">
        <v>387</v>
      </c>
      <c r="U64" s="4" t="s">
        <v>387</v>
      </c>
      <c r="V64" s="2">
        <v>2136</v>
      </c>
    </row>
    <row r="65" spans="1:22" x14ac:dyDescent="0.3">
      <c r="A65" t="s">
        <v>663</v>
      </c>
      <c r="B65">
        <v>2019</v>
      </c>
      <c r="D65" t="s">
        <v>17</v>
      </c>
      <c r="E65" t="s">
        <v>18</v>
      </c>
      <c r="F65" t="s">
        <v>19</v>
      </c>
      <c r="G65" s="1">
        <v>191000000</v>
      </c>
      <c r="H65" s="1">
        <f t="shared" si="1"/>
        <v>191000</v>
      </c>
      <c r="I65" t="s">
        <v>20</v>
      </c>
      <c r="J65" t="s">
        <v>21</v>
      </c>
      <c r="K65" t="s">
        <v>388</v>
      </c>
      <c r="L65" t="s">
        <v>352</v>
      </c>
      <c r="M65" t="s">
        <v>389</v>
      </c>
      <c r="N65">
        <v>7.3130100000000002</v>
      </c>
      <c r="O65">
        <v>43.811819999999997</v>
      </c>
      <c r="P65" t="s">
        <v>390</v>
      </c>
      <c r="R65" t="s">
        <v>391</v>
      </c>
      <c r="S65" t="s">
        <v>736</v>
      </c>
      <c r="T65" t="s">
        <v>392</v>
      </c>
      <c r="U65" t="s">
        <v>392</v>
      </c>
      <c r="V65" s="1">
        <v>7412</v>
      </c>
    </row>
    <row r="66" spans="1:22" x14ac:dyDescent="0.3">
      <c r="A66" t="s">
        <v>664</v>
      </c>
      <c r="B66">
        <v>2019</v>
      </c>
      <c r="D66" t="s">
        <v>17</v>
      </c>
      <c r="E66" t="s">
        <v>18</v>
      </c>
      <c r="F66" t="s">
        <v>19</v>
      </c>
      <c r="G66" s="1">
        <v>372000000</v>
      </c>
      <c r="H66" s="1">
        <f t="shared" ref="H66:H93" si="2">G66/1000</f>
        <v>372000</v>
      </c>
      <c r="I66" t="s">
        <v>20</v>
      </c>
      <c r="J66" t="s">
        <v>21</v>
      </c>
      <c r="K66" t="s">
        <v>393</v>
      </c>
      <c r="L66" t="s">
        <v>330</v>
      </c>
      <c r="M66" t="s">
        <v>394</v>
      </c>
      <c r="N66">
        <v>7.3752700000000004</v>
      </c>
      <c r="O66">
        <v>43.790799999999997</v>
      </c>
      <c r="P66" t="s">
        <v>395</v>
      </c>
      <c r="R66" t="s">
        <v>396</v>
      </c>
      <c r="S66" t="s">
        <v>736</v>
      </c>
      <c r="T66" t="s">
        <v>397</v>
      </c>
      <c r="U66" t="s">
        <v>397</v>
      </c>
      <c r="V66" s="1">
        <v>1448</v>
      </c>
    </row>
    <row r="67" spans="1:22" x14ac:dyDescent="0.3">
      <c r="A67" t="s">
        <v>665</v>
      </c>
      <c r="B67">
        <v>2019</v>
      </c>
      <c r="D67" t="s">
        <v>17</v>
      </c>
      <c r="E67" t="s">
        <v>18</v>
      </c>
      <c r="F67" t="s">
        <v>19</v>
      </c>
      <c r="G67" s="1">
        <v>225000000</v>
      </c>
      <c r="H67" s="1">
        <f t="shared" si="2"/>
        <v>225000</v>
      </c>
      <c r="I67" t="s">
        <v>20</v>
      </c>
      <c r="J67" t="s">
        <v>21</v>
      </c>
      <c r="K67" t="s">
        <v>398</v>
      </c>
      <c r="L67" t="s">
        <v>303</v>
      </c>
      <c r="M67" t="s">
        <v>399</v>
      </c>
      <c r="N67">
        <v>1.8090900000000001</v>
      </c>
      <c r="O67">
        <v>48.976100000000002</v>
      </c>
      <c r="P67" t="s">
        <v>400</v>
      </c>
      <c r="R67" t="s">
        <v>401</v>
      </c>
      <c r="S67" t="s">
        <v>736</v>
      </c>
      <c r="T67" t="s">
        <v>402</v>
      </c>
      <c r="U67" t="s">
        <v>402</v>
      </c>
      <c r="V67" s="1">
        <v>7089</v>
      </c>
    </row>
    <row r="68" spans="1:22" x14ac:dyDescent="0.3">
      <c r="A68" t="s">
        <v>666</v>
      </c>
      <c r="B68">
        <v>2019</v>
      </c>
      <c r="D68" t="s">
        <v>17</v>
      </c>
      <c r="E68" t="s">
        <v>18</v>
      </c>
      <c r="F68" t="s">
        <v>19</v>
      </c>
      <c r="G68" s="1">
        <v>533000000</v>
      </c>
      <c r="H68" s="1">
        <f t="shared" si="2"/>
        <v>533000</v>
      </c>
      <c r="I68" t="s">
        <v>20</v>
      </c>
      <c r="J68" t="s">
        <v>21</v>
      </c>
      <c r="K68" t="s">
        <v>403</v>
      </c>
      <c r="L68" t="s">
        <v>352</v>
      </c>
      <c r="M68" t="s">
        <v>352</v>
      </c>
      <c r="N68">
        <v>-4.2376500000000004</v>
      </c>
      <c r="O68">
        <v>48.453690000000002</v>
      </c>
      <c r="P68" t="s">
        <v>404</v>
      </c>
      <c r="R68" t="s">
        <v>405</v>
      </c>
      <c r="S68" t="s">
        <v>736</v>
      </c>
      <c r="T68" t="s">
        <v>406</v>
      </c>
      <c r="U68" t="s">
        <v>406</v>
      </c>
      <c r="V68" s="1">
        <v>5627</v>
      </c>
    </row>
    <row r="69" spans="1:22" x14ac:dyDescent="0.3">
      <c r="A69" t="s">
        <v>667</v>
      </c>
      <c r="B69">
        <v>2019</v>
      </c>
      <c r="D69" t="s">
        <v>17</v>
      </c>
      <c r="E69" t="s">
        <v>18</v>
      </c>
      <c r="F69" t="s">
        <v>19</v>
      </c>
      <c r="G69" s="1">
        <v>537000000</v>
      </c>
      <c r="H69" s="1">
        <f t="shared" si="2"/>
        <v>537000</v>
      </c>
      <c r="I69" t="s">
        <v>20</v>
      </c>
      <c r="J69" t="s">
        <v>21</v>
      </c>
      <c r="K69" t="s">
        <v>407</v>
      </c>
      <c r="L69" t="s">
        <v>303</v>
      </c>
      <c r="M69" t="s">
        <v>408</v>
      </c>
      <c r="N69">
        <v>4.6215900000000003</v>
      </c>
      <c r="O69">
        <v>43.804279999999999</v>
      </c>
      <c r="P69" t="s">
        <v>409</v>
      </c>
      <c r="R69" t="s">
        <v>410</v>
      </c>
      <c r="S69" t="s">
        <v>736</v>
      </c>
      <c r="T69" t="s">
        <v>411</v>
      </c>
      <c r="U69" t="s">
        <v>411</v>
      </c>
      <c r="V69" s="1">
        <v>16094</v>
      </c>
    </row>
    <row r="70" spans="1:22" x14ac:dyDescent="0.3">
      <c r="A70" t="s">
        <v>668</v>
      </c>
      <c r="B70">
        <v>2019</v>
      </c>
      <c r="D70" t="s">
        <v>17</v>
      </c>
      <c r="E70" t="s">
        <v>18</v>
      </c>
      <c r="F70" t="s">
        <v>19</v>
      </c>
      <c r="G70" s="1">
        <v>260000000</v>
      </c>
      <c r="H70" s="1">
        <f t="shared" si="2"/>
        <v>260000</v>
      </c>
      <c r="I70" t="s">
        <v>20</v>
      </c>
      <c r="J70" t="s">
        <v>21</v>
      </c>
      <c r="K70" t="s">
        <v>412</v>
      </c>
      <c r="L70" t="s">
        <v>413</v>
      </c>
      <c r="M70" t="s">
        <v>414</v>
      </c>
      <c r="N70">
        <v>7.2378400000000003</v>
      </c>
      <c r="O70">
        <v>47.629069999999999</v>
      </c>
      <c r="P70" t="s">
        <v>415</v>
      </c>
      <c r="R70" t="s">
        <v>416</v>
      </c>
      <c r="S70" t="s">
        <v>736</v>
      </c>
      <c r="T70" t="s">
        <v>417</v>
      </c>
      <c r="U70" t="s">
        <v>417</v>
      </c>
      <c r="V70" s="1">
        <v>5740</v>
      </c>
    </row>
    <row r="71" spans="1:22" x14ac:dyDescent="0.3">
      <c r="A71" t="s">
        <v>669</v>
      </c>
      <c r="B71">
        <v>2019</v>
      </c>
      <c r="D71" t="s">
        <v>17</v>
      </c>
      <c r="E71" t="s">
        <v>18</v>
      </c>
      <c r="F71" t="s">
        <v>19</v>
      </c>
      <c r="G71" s="1">
        <v>329000000</v>
      </c>
      <c r="H71" s="1">
        <f t="shared" si="2"/>
        <v>329000</v>
      </c>
      <c r="I71" t="s">
        <v>20</v>
      </c>
      <c r="J71" t="s">
        <v>21</v>
      </c>
      <c r="K71" t="s">
        <v>418</v>
      </c>
      <c r="L71" t="s">
        <v>419</v>
      </c>
      <c r="M71" t="s">
        <v>420</v>
      </c>
      <c r="N71">
        <v>14.121219999999999</v>
      </c>
      <c r="O71">
        <v>44.967320000000001</v>
      </c>
      <c r="P71" t="s">
        <v>421</v>
      </c>
      <c r="Q71" t="s">
        <v>422</v>
      </c>
      <c r="R71" t="s">
        <v>423</v>
      </c>
      <c r="S71" t="s">
        <v>737</v>
      </c>
      <c r="T71" t="s">
        <v>421</v>
      </c>
      <c r="U71" t="s">
        <v>421</v>
      </c>
      <c r="V71" s="1">
        <v>180</v>
      </c>
    </row>
    <row r="72" spans="1:22" x14ac:dyDescent="0.3">
      <c r="A72" t="s">
        <v>670</v>
      </c>
      <c r="B72">
        <v>2019</v>
      </c>
      <c r="D72" t="s">
        <v>17</v>
      </c>
      <c r="E72" t="s">
        <v>18</v>
      </c>
      <c r="F72" t="s">
        <v>19</v>
      </c>
      <c r="G72" s="1">
        <v>157000000</v>
      </c>
      <c r="H72" s="1">
        <f t="shared" si="2"/>
        <v>157000</v>
      </c>
      <c r="I72" t="s">
        <v>20</v>
      </c>
      <c r="J72" t="s">
        <v>21</v>
      </c>
      <c r="K72" t="s">
        <v>424</v>
      </c>
      <c r="L72" t="s">
        <v>425</v>
      </c>
      <c r="M72" t="s">
        <v>426</v>
      </c>
      <c r="N72">
        <v>16.464179999999999</v>
      </c>
      <c r="O72">
        <v>43.539200000000001</v>
      </c>
      <c r="P72" t="s">
        <v>427</v>
      </c>
      <c r="Q72" t="s">
        <v>428</v>
      </c>
      <c r="R72" t="s">
        <v>429</v>
      </c>
      <c r="S72" t="s">
        <v>737</v>
      </c>
      <c r="T72" t="s">
        <v>430</v>
      </c>
      <c r="U72" t="s">
        <v>430</v>
      </c>
      <c r="V72" s="1">
        <v>23926</v>
      </c>
    </row>
    <row r="73" spans="1:22" x14ac:dyDescent="0.3">
      <c r="A73" t="s">
        <v>671</v>
      </c>
      <c r="B73">
        <v>2019</v>
      </c>
      <c r="D73" t="s">
        <v>17</v>
      </c>
      <c r="E73" t="s">
        <v>18</v>
      </c>
      <c r="F73" t="s">
        <v>19</v>
      </c>
      <c r="G73" s="1">
        <v>642000000</v>
      </c>
      <c r="H73" s="1">
        <f t="shared" si="2"/>
        <v>642000</v>
      </c>
      <c r="I73" t="s">
        <v>20</v>
      </c>
      <c r="J73" t="s">
        <v>21</v>
      </c>
      <c r="K73" t="s">
        <v>431</v>
      </c>
      <c r="L73" t="s">
        <v>425</v>
      </c>
      <c r="M73" t="s">
        <v>432</v>
      </c>
      <c r="N73">
        <v>16.443519999999999</v>
      </c>
      <c r="O73">
        <v>43.541710000000002</v>
      </c>
      <c r="P73" t="s">
        <v>433</v>
      </c>
      <c r="Q73" t="s">
        <v>434</v>
      </c>
      <c r="R73" t="s">
        <v>435</v>
      </c>
      <c r="S73" t="s">
        <v>737</v>
      </c>
      <c r="T73" t="s">
        <v>436</v>
      </c>
      <c r="U73" t="s">
        <v>436</v>
      </c>
      <c r="V73" s="1">
        <v>6829</v>
      </c>
    </row>
    <row r="74" spans="1:22" x14ac:dyDescent="0.3">
      <c r="A74" t="s">
        <v>672</v>
      </c>
      <c r="B74">
        <v>2019</v>
      </c>
      <c r="D74" t="s">
        <v>17</v>
      </c>
      <c r="E74" t="s">
        <v>18</v>
      </c>
      <c r="F74" t="s">
        <v>19</v>
      </c>
      <c r="G74" s="1">
        <v>667000000</v>
      </c>
      <c r="H74" s="1">
        <f t="shared" si="2"/>
        <v>667000</v>
      </c>
      <c r="I74" t="s">
        <v>20</v>
      </c>
      <c r="J74" t="s">
        <v>21</v>
      </c>
      <c r="K74" t="s">
        <v>437</v>
      </c>
      <c r="L74" t="s">
        <v>438</v>
      </c>
      <c r="M74" t="s">
        <v>439</v>
      </c>
      <c r="N74">
        <v>18.03978</v>
      </c>
      <c r="O74">
        <v>45.452939999999998</v>
      </c>
      <c r="P74" t="s">
        <v>440</v>
      </c>
      <c r="Q74" t="s">
        <v>441</v>
      </c>
      <c r="R74" t="s">
        <v>442</v>
      </c>
      <c r="S74" t="s">
        <v>737</v>
      </c>
      <c r="T74" t="s">
        <v>443</v>
      </c>
      <c r="U74" t="s">
        <v>443</v>
      </c>
      <c r="V74" s="1">
        <v>16224</v>
      </c>
    </row>
    <row r="75" spans="1:22" x14ac:dyDescent="0.3">
      <c r="A75" t="s">
        <v>673</v>
      </c>
      <c r="B75">
        <v>2019</v>
      </c>
      <c r="D75" t="s">
        <v>17</v>
      </c>
      <c r="E75" t="s">
        <v>18</v>
      </c>
      <c r="F75" t="s">
        <v>19</v>
      </c>
      <c r="G75" s="1">
        <v>480780000</v>
      </c>
      <c r="H75" s="1">
        <f t="shared" si="2"/>
        <v>480780</v>
      </c>
      <c r="I75" t="s">
        <v>20</v>
      </c>
      <c r="J75" t="s">
        <v>21</v>
      </c>
      <c r="K75" t="s">
        <v>444</v>
      </c>
      <c r="L75" t="s">
        <v>445</v>
      </c>
      <c r="M75" t="s">
        <v>445</v>
      </c>
      <c r="N75">
        <v>18.398833</v>
      </c>
      <c r="O75">
        <v>45.811200999999997</v>
      </c>
      <c r="P75" t="s">
        <v>446</v>
      </c>
      <c r="Q75" t="s">
        <v>447</v>
      </c>
      <c r="R75" t="s">
        <v>448</v>
      </c>
      <c r="S75" t="s">
        <v>738</v>
      </c>
      <c r="T75" t="s">
        <v>449</v>
      </c>
      <c r="U75" t="s">
        <v>449</v>
      </c>
      <c r="V75" s="1">
        <v>2467</v>
      </c>
    </row>
    <row r="76" spans="1:22" x14ac:dyDescent="0.3">
      <c r="A76" t="s">
        <v>674</v>
      </c>
      <c r="B76">
        <v>2019</v>
      </c>
      <c r="D76" t="s">
        <v>17</v>
      </c>
      <c r="E76" t="s">
        <v>18</v>
      </c>
      <c r="F76" t="s">
        <v>19</v>
      </c>
      <c r="G76" s="1">
        <v>100940000</v>
      </c>
      <c r="H76" s="1">
        <f t="shared" si="2"/>
        <v>100940</v>
      </c>
      <c r="I76" t="s">
        <v>20</v>
      </c>
      <c r="J76" t="s">
        <v>21</v>
      </c>
      <c r="K76" t="s">
        <v>450</v>
      </c>
      <c r="L76" t="s">
        <v>451</v>
      </c>
      <c r="M76" t="s">
        <v>452</v>
      </c>
      <c r="N76">
        <v>18.506007</v>
      </c>
      <c r="O76">
        <v>47.749090000000002</v>
      </c>
      <c r="P76" t="s">
        <v>453</v>
      </c>
      <c r="Q76" t="s">
        <v>454</v>
      </c>
      <c r="R76" t="s">
        <v>455</v>
      </c>
      <c r="S76" t="s">
        <v>738</v>
      </c>
      <c r="T76" t="s">
        <v>456</v>
      </c>
      <c r="U76" t="s">
        <v>456</v>
      </c>
      <c r="V76" s="1">
        <v>5316</v>
      </c>
    </row>
    <row r="77" spans="1:22" x14ac:dyDescent="0.3">
      <c r="A77" t="s">
        <v>675</v>
      </c>
      <c r="B77">
        <v>2019</v>
      </c>
      <c r="D77" t="s">
        <v>17</v>
      </c>
      <c r="E77" t="s">
        <v>18</v>
      </c>
      <c r="F77" t="s">
        <v>19</v>
      </c>
      <c r="G77" s="1">
        <v>562460000</v>
      </c>
      <c r="H77" s="1">
        <f t="shared" si="2"/>
        <v>562460</v>
      </c>
      <c r="I77" t="s">
        <v>20</v>
      </c>
      <c r="J77" t="s">
        <v>21</v>
      </c>
      <c r="K77" t="s">
        <v>457</v>
      </c>
      <c r="L77" t="s">
        <v>445</v>
      </c>
      <c r="M77" t="s">
        <v>445</v>
      </c>
      <c r="N77">
        <v>19.104604999999999</v>
      </c>
      <c r="O77">
        <v>47.811315</v>
      </c>
      <c r="P77" t="s">
        <v>458</v>
      </c>
      <c r="Q77" t="s">
        <v>66</v>
      </c>
      <c r="R77" t="s">
        <v>459</v>
      </c>
      <c r="S77" t="s">
        <v>738</v>
      </c>
      <c r="T77" t="s">
        <v>460</v>
      </c>
      <c r="U77" t="s">
        <v>460</v>
      </c>
      <c r="V77" s="1">
        <v>33475</v>
      </c>
    </row>
    <row r="78" spans="1:22" x14ac:dyDescent="0.3">
      <c r="A78" t="s">
        <v>676</v>
      </c>
      <c r="B78">
        <v>2019</v>
      </c>
      <c r="D78" t="s">
        <v>17</v>
      </c>
      <c r="E78" t="s">
        <v>18</v>
      </c>
      <c r="F78" t="s">
        <v>19</v>
      </c>
      <c r="G78" s="1">
        <v>635480000</v>
      </c>
      <c r="H78" s="1">
        <f t="shared" si="2"/>
        <v>635480</v>
      </c>
      <c r="I78" t="s">
        <v>20</v>
      </c>
      <c r="J78" t="s">
        <v>21</v>
      </c>
      <c r="K78" t="s">
        <v>461</v>
      </c>
      <c r="L78" t="s">
        <v>462</v>
      </c>
      <c r="M78" t="s">
        <v>463</v>
      </c>
      <c r="N78">
        <v>17.984190000000002</v>
      </c>
      <c r="O78">
        <v>46.016013000000001</v>
      </c>
      <c r="P78" t="s">
        <v>464</v>
      </c>
      <c r="Q78" t="s">
        <v>465</v>
      </c>
      <c r="R78" t="s">
        <v>466</v>
      </c>
      <c r="S78" t="s">
        <v>738</v>
      </c>
      <c r="T78" t="s">
        <v>467</v>
      </c>
      <c r="U78" t="s">
        <v>739</v>
      </c>
      <c r="V78" s="1">
        <v>360704</v>
      </c>
    </row>
    <row r="79" spans="1:22" x14ac:dyDescent="0.3">
      <c r="A79" t="s">
        <v>677</v>
      </c>
      <c r="B79">
        <v>2019</v>
      </c>
      <c r="D79" t="s">
        <v>17</v>
      </c>
      <c r="E79" t="s">
        <v>18</v>
      </c>
      <c r="F79" t="s">
        <v>19</v>
      </c>
      <c r="G79" s="1">
        <v>757080100</v>
      </c>
      <c r="H79" s="1">
        <f t="shared" si="2"/>
        <v>757080.1</v>
      </c>
      <c r="I79" t="s">
        <v>20</v>
      </c>
      <c r="J79" t="s">
        <v>21</v>
      </c>
      <c r="K79" t="s">
        <v>468</v>
      </c>
      <c r="L79" t="s">
        <v>469</v>
      </c>
      <c r="M79" t="s">
        <v>469</v>
      </c>
      <c r="N79">
        <v>-7.5792159999999997</v>
      </c>
      <c r="O79">
        <v>54.131276</v>
      </c>
      <c r="P79" t="s">
        <v>470</v>
      </c>
      <c r="Q79" t="s">
        <v>471</v>
      </c>
      <c r="S79" t="s">
        <v>740</v>
      </c>
      <c r="T79" t="s">
        <v>472</v>
      </c>
      <c r="U79" t="s">
        <v>472</v>
      </c>
      <c r="V79" s="1">
        <v>10914</v>
      </c>
    </row>
    <row r="80" spans="1:22" x14ac:dyDescent="0.3">
      <c r="A80" t="s">
        <v>678</v>
      </c>
      <c r="B80">
        <v>2019</v>
      </c>
      <c r="D80" t="s">
        <v>17</v>
      </c>
      <c r="E80" t="s">
        <v>18</v>
      </c>
      <c r="F80" t="s">
        <v>19</v>
      </c>
      <c r="G80" s="1">
        <v>628340253</v>
      </c>
      <c r="H80" s="1">
        <f t="shared" si="2"/>
        <v>628340.25300000003</v>
      </c>
      <c r="I80" t="s">
        <v>20</v>
      </c>
      <c r="J80" t="s">
        <v>21</v>
      </c>
      <c r="K80" t="s">
        <v>473</v>
      </c>
      <c r="L80" t="s">
        <v>474</v>
      </c>
      <c r="M80" t="s">
        <v>475</v>
      </c>
      <c r="N80">
        <v>-8.6938080000000006</v>
      </c>
      <c r="O80">
        <v>52.645358999999999</v>
      </c>
      <c r="P80" t="s">
        <v>476</v>
      </c>
      <c r="Q80" t="s">
        <v>477</v>
      </c>
      <c r="S80" t="s">
        <v>740</v>
      </c>
      <c r="T80" t="s">
        <v>478</v>
      </c>
      <c r="U80" t="s">
        <v>478</v>
      </c>
      <c r="V80" s="1">
        <v>94192</v>
      </c>
    </row>
    <row r="81" spans="1:22" x14ac:dyDescent="0.3">
      <c r="A81" t="s">
        <v>679</v>
      </c>
      <c r="B81">
        <v>2019</v>
      </c>
      <c r="D81" t="s">
        <v>17</v>
      </c>
      <c r="E81" t="s">
        <v>18</v>
      </c>
      <c r="F81" t="s">
        <v>19</v>
      </c>
      <c r="G81" s="9">
        <v>1056451000</v>
      </c>
      <c r="H81" s="9">
        <f t="shared" si="2"/>
        <v>1056451</v>
      </c>
      <c r="I81" t="s">
        <v>20</v>
      </c>
      <c r="J81" t="s">
        <v>21</v>
      </c>
      <c r="K81" t="s">
        <v>479</v>
      </c>
      <c r="L81" t="s">
        <v>474</v>
      </c>
      <c r="M81" t="s">
        <v>480</v>
      </c>
      <c r="N81">
        <v>-6.3866719999999999</v>
      </c>
      <c r="O81">
        <v>53.684593999999997</v>
      </c>
      <c r="P81" t="s">
        <v>481</v>
      </c>
      <c r="Q81" t="s">
        <v>477</v>
      </c>
      <c r="S81" t="s">
        <v>740</v>
      </c>
      <c r="T81" t="s">
        <v>482</v>
      </c>
      <c r="U81" t="s">
        <v>482</v>
      </c>
      <c r="V81" s="9">
        <v>195044</v>
      </c>
    </row>
    <row r="82" spans="1:22" x14ac:dyDescent="0.3">
      <c r="A82" t="s">
        <v>680</v>
      </c>
      <c r="B82">
        <v>2019</v>
      </c>
      <c r="D82" t="s">
        <v>17</v>
      </c>
      <c r="E82" t="s">
        <v>18</v>
      </c>
      <c r="F82" t="s">
        <v>19</v>
      </c>
      <c r="G82" s="1">
        <v>405824000</v>
      </c>
      <c r="H82" s="1">
        <f t="shared" si="2"/>
        <v>405824</v>
      </c>
      <c r="I82" t="s">
        <v>20</v>
      </c>
      <c r="J82" t="s">
        <v>21</v>
      </c>
      <c r="K82" t="s">
        <v>483</v>
      </c>
      <c r="L82" t="s">
        <v>484</v>
      </c>
      <c r="M82" t="s">
        <v>484</v>
      </c>
      <c r="N82">
        <v>-7.1409339999999997</v>
      </c>
      <c r="O82">
        <v>53.435529000000002</v>
      </c>
      <c r="P82" t="s">
        <v>485</v>
      </c>
      <c r="Q82" t="s">
        <v>486</v>
      </c>
      <c r="S82" t="s">
        <v>740</v>
      </c>
      <c r="T82" t="s">
        <v>482</v>
      </c>
      <c r="U82" t="s">
        <v>482</v>
      </c>
      <c r="V82" s="1">
        <v>195044</v>
      </c>
    </row>
    <row r="83" spans="1:22" x14ac:dyDescent="0.3">
      <c r="A83" t="s">
        <v>681</v>
      </c>
      <c r="B83">
        <v>2019</v>
      </c>
      <c r="D83" t="s">
        <v>17</v>
      </c>
      <c r="E83" t="s">
        <v>18</v>
      </c>
      <c r="F83" t="s">
        <v>19</v>
      </c>
      <c r="G83" s="1">
        <v>632000000</v>
      </c>
      <c r="H83" s="1">
        <f t="shared" si="2"/>
        <v>632000</v>
      </c>
      <c r="I83" t="s">
        <v>20</v>
      </c>
      <c r="J83" t="s">
        <v>21</v>
      </c>
      <c r="K83" t="s">
        <v>487</v>
      </c>
      <c r="L83" t="s">
        <v>488</v>
      </c>
      <c r="M83" t="s">
        <v>489</v>
      </c>
      <c r="N83">
        <v>6.0058800000000003</v>
      </c>
      <c r="O83">
        <v>49.466189999999997</v>
      </c>
      <c r="P83" t="s">
        <v>490</v>
      </c>
      <c r="Q83" t="s">
        <v>491</v>
      </c>
      <c r="R83" t="s">
        <v>492</v>
      </c>
      <c r="S83" t="s">
        <v>741</v>
      </c>
      <c r="T83" t="s">
        <v>493</v>
      </c>
      <c r="U83" t="s">
        <v>493</v>
      </c>
      <c r="V83" s="1">
        <v>5545</v>
      </c>
    </row>
    <row r="84" spans="1:22" x14ac:dyDescent="0.3">
      <c r="A84" t="s">
        <v>682</v>
      </c>
      <c r="B84">
        <v>2019</v>
      </c>
      <c r="D84" t="s">
        <v>17</v>
      </c>
      <c r="E84" t="s">
        <v>18</v>
      </c>
      <c r="F84" t="s">
        <v>19</v>
      </c>
      <c r="G84" s="1">
        <v>731000000</v>
      </c>
      <c r="H84" s="1">
        <f t="shared" si="2"/>
        <v>731000</v>
      </c>
      <c r="I84" t="s">
        <v>20</v>
      </c>
      <c r="J84" t="s">
        <v>21</v>
      </c>
      <c r="K84" t="s">
        <v>494</v>
      </c>
      <c r="L84" t="s">
        <v>495</v>
      </c>
      <c r="M84" t="s">
        <v>495</v>
      </c>
      <c r="N84">
        <v>26.029586999999999</v>
      </c>
      <c r="O84">
        <v>46.897860999999999</v>
      </c>
      <c r="P84" t="s">
        <v>496</v>
      </c>
      <c r="R84" t="s">
        <v>497</v>
      </c>
      <c r="S84" t="s">
        <v>742</v>
      </c>
      <c r="T84" t="s">
        <v>498</v>
      </c>
      <c r="U84" t="s">
        <v>498</v>
      </c>
      <c r="V84" s="1">
        <v>2235</v>
      </c>
    </row>
    <row r="85" spans="1:22" x14ac:dyDescent="0.3">
      <c r="A85" t="s">
        <v>683</v>
      </c>
      <c r="B85">
        <v>2019</v>
      </c>
      <c r="D85" t="s">
        <v>17</v>
      </c>
      <c r="E85" t="s">
        <v>18</v>
      </c>
      <c r="F85" t="s">
        <v>19</v>
      </c>
      <c r="G85" s="9">
        <v>1050000000</v>
      </c>
      <c r="H85" s="9">
        <f t="shared" si="2"/>
        <v>1050000</v>
      </c>
      <c r="I85" t="s">
        <v>20</v>
      </c>
      <c r="J85" t="s">
        <v>21</v>
      </c>
      <c r="K85" t="s">
        <v>499</v>
      </c>
      <c r="L85" t="s">
        <v>500</v>
      </c>
      <c r="M85" t="s">
        <v>501</v>
      </c>
      <c r="N85">
        <v>22.331876000000001</v>
      </c>
      <c r="O85">
        <v>47.038682000000001</v>
      </c>
      <c r="P85" t="s">
        <v>502</v>
      </c>
      <c r="R85" t="s">
        <v>503</v>
      </c>
      <c r="S85" t="s">
        <v>742</v>
      </c>
      <c r="T85" t="s">
        <v>504</v>
      </c>
      <c r="U85" t="s">
        <v>504</v>
      </c>
      <c r="V85" s="9">
        <v>3561</v>
      </c>
    </row>
    <row r="86" spans="1:22" x14ac:dyDescent="0.3">
      <c r="A86" t="s">
        <v>684</v>
      </c>
      <c r="B86">
        <v>2019</v>
      </c>
      <c r="D86" t="s">
        <v>17</v>
      </c>
      <c r="E86" t="s">
        <v>18</v>
      </c>
      <c r="F86" t="s">
        <v>19</v>
      </c>
      <c r="G86" s="1">
        <v>758000000</v>
      </c>
      <c r="H86" s="1">
        <f t="shared" si="2"/>
        <v>758000</v>
      </c>
      <c r="I86" t="s">
        <v>20</v>
      </c>
      <c r="J86" t="s">
        <v>21</v>
      </c>
      <c r="K86" t="s">
        <v>505</v>
      </c>
      <c r="L86" t="s">
        <v>506</v>
      </c>
      <c r="M86" t="s">
        <v>507</v>
      </c>
      <c r="N86">
        <v>25.281858</v>
      </c>
      <c r="O86">
        <v>45.951652000000003</v>
      </c>
      <c r="P86" t="s">
        <v>508</v>
      </c>
      <c r="R86" t="s">
        <v>509</v>
      </c>
      <c r="S86" t="s">
        <v>742</v>
      </c>
      <c r="T86" t="s">
        <v>510</v>
      </c>
      <c r="U86" t="s">
        <v>510</v>
      </c>
      <c r="V86" s="1">
        <v>5025</v>
      </c>
    </row>
    <row r="87" spans="1:22" x14ac:dyDescent="0.3">
      <c r="A87" t="s">
        <v>685</v>
      </c>
      <c r="B87">
        <v>2019</v>
      </c>
      <c r="D87" t="s">
        <v>17</v>
      </c>
      <c r="E87" t="s">
        <v>18</v>
      </c>
      <c r="F87" t="s">
        <v>19</v>
      </c>
      <c r="G87" s="1">
        <v>716000000</v>
      </c>
      <c r="H87" s="1">
        <f t="shared" si="2"/>
        <v>716000</v>
      </c>
      <c r="I87" t="s">
        <v>20</v>
      </c>
      <c r="J87" t="s">
        <v>21</v>
      </c>
      <c r="K87" t="s">
        <v>511</v>
      </c>
      <c r="L87" t="s">
        <v>495</v>
      </c>
      <c r="M87" t="s">
        <v>512</v>
      </c>
      <c r="N87">
        <v>25.417586109999998</v>
      </c>
      <c r="O87">
        <v>45.12266666</v>
      </c>
      <c r="P87" t="s">
        <v>513</v>
      </c>
      <c r="R87" t="s">
        <v>514</v>
      </c>
      <c r="S87" t="s">
        <v>742</v>
      </c>
      <c r="T87" t="s">
        <v>515</v>
      </c>
      <c r="U87" t="s">
        <v>515</v>
      </c>
      <c r="V87" s="1">
        <v>7701</v>
      </c>
    </row>
    <row r="88" spans="1:22" x14ac:dyDescent="0.3">
      <c r="A88" t="s">
        <v>686</v>
      </c>
      <c r="B88">
        <v>2019</v>
      </c>
      <c r="D88" t="s">
        <v>17</v>
      </c>
      <c r="E88" t="s">
        <v>18</v>
      </c>
      <c r="F88" t="s">
        <v>19</v>
      </c>
      <c r="G88" s="1">
        <v>664000000</v>
      </c>
      <c r="H88" s="1">
        <f t="shared" si="2"/>
        <v>664000</v>
      </c>
      <c r="I88" t="s">
        <v>20</v>
      </c>
      <c r="J88" t="s">
        <v>21</v>
      </c>
      <c r="K88" t="s">
        <v>516</v>
      </c>
      <c r="L88" t="s">
        <v>495</v>
      </c>
      <c r="M88" t="s">
        <v>517</v>
      </c>
      <c r="N88">
        <v>22.866436</v>
      </c>
      <c r="O88">
        <v>45.954951999999999</v>
      </c>
      <c r="P88" t="s">
        <v>518</v>
      </c>
      <c r="R88" t="s">
        <v>519</v>
      </c>
      <c r="S88" t="s">
        <v>742</v>
      </c>
      <c r="T88" t="s">
        <v>520</v>
      </c>
      <c r="U88" t="s">
        <v>743</v>
      </c>
      <c r="V88" s="1">
        <v>56647</v>
      </c>
    </row>
    <row r="89" spans="1:22" x14ac:dyDescent="0.3">
      <c r="A89" t="s">
        <v>687</v>
      </c>
      <c r="B89">
        <v>2019</v>
      </c>
      <c r="D89" t="s">
        <v>17</v>
      </c>
      <c r="E89" t="s">
        <v>18</v>
      </c>
      <c r="F89" t="s">
        <v>19</v>
      </c>
      <c r="G89" s="1">
        <v>766688720</v>
      </c>
      <c r="H89" s="1">
        <f t="shared" si="2"/>
        <v>766688.72</v>
      </c>
      <c r="I89" t="s">
        <v>20</v>
      </c>
      <c r="J89" t="s">
        <v>21</v>
      </c>
      <c r="K89" t="s">
        <v>521</v>
      </c>
      <c r="L89" t="s">
        <v>522</v>
      </c>
      <c r="M89" t="s">
        <v>523</v>
      </c>
      <c r="N89">
        <v>13.628036</v>
      </c>
      <c r="O89">
        <v>46.068649999999998</v>
      </c>
      <c r="P89" t="s">
        <v>524</v>
      </c>
      <c r="Q89" t="s">
        <v>441</v>
      </c>
      <c r="R89" t="s">
        <v>525</v>
      </c>
      <c r="S89" t="s">
        <v>744</v>
      </c>
      <c r="T89" t="s">
        <v>526</v>
      </c>
      <c r="U89" t="s">
        <v>526</v>
      </c>
      <c r="V89" s="1">
        <v>1324</v>
      </c>
    </row>
    <row r="90" spans="1:22" x14ac:dyDescent="0.3">
      <c r="A90" t="s">
        <v>688</v>
      </c>
      <c r="B90">
        <v>2019</v>
      </c>
      <c r="D90" t="s">
        <v>17</v>
      </c>
      <c r="E90" t="s">
        <v>18</v>
      </c>
      <c r="F90" t="s">
        <v>19</v>
      </c>
      <c r="G90" s="1">
        <v>371000000</v>
      </c>
      <c r="H90" s="1">
        <f t="shared" si="2"/>
        <v>371000</v>
      </c>
      <c r="I90" t="s">
        <v>20</v>
      </c>
      <c r="J90" t="s">
        <v>21</v>
      </c>
      <c r="K90" t="s">
        <v>527</v>
      </c>
      <c r="L90" t="s">
        <v>528</v>
      </c>
      <c r="M90" t="s">
        <v>529</v>
      </c>
      <c r="N90">
        <v>-3.3896999999999999</v>
      </c>
      <c r="O90">
        <v>51.394069999999999</v>
      </c>
      <c r="P90" t="s">
        <v>530</v>
      </c>
      <c r="Q90" t="s">
        <v>529</v>
      </c>
      <c r="R90" t="s">
        <v>531</v>
      </c>
      <c r="S90" t="s">
        <v>745</v>
      </c>
      <c r="T90" t="s">
        <v>532</v>
      </c>
      <c r="U90" t="s">
        <v>532</v>
      </c>
      <c r="V90" s="1">
        <v>54673</v>
      </c>
    </row>
    <row r="91" spans="1:22" x14ac:dyDescent="0.3">
      <c r="A91" t="s">
        <v>689</v>
      </c>
      <c r="B91">
        <v>2019</v>
      </c>
      <c r="D91" t="s">
        <v>17</v>
      </c>
      <c r="E91" t="s">
        <v>18</v>
      </c>
      <c r="F91" t="s">
        <v>19</v>
      </c>
      <c r="G91" s="1">
        <v>490000000</v>
      </c>
      <c r="H91" s="1">
        <f t="shared" si="2"/>
        <v>490000</v>
      </c>
      <c r="I91" t="s">
        <v>20</v>
      </c>
      <c r="J91" t="s">
        <v>21</v>
      </c>
      <c r="K91" t="s">
        <v>533</v>
      </c>
      <c r="L91" t="s">
        <v>534</v>
      </c>
      <c r="M91" t="s">
        <v>535</v>
      </c>
      <c r="N91">
        <v>-3.06202</v>
      </c>
      <c r="O91">
        <v>53.154989999999998</v>
      </c>
      <c r="P91" t="s">
        <v>536</v>
      </c>
      <c r="Q91" t="s">
        <v>537</v>
      </c>
      <c r="R91" t="s">
        <v>538</v>
      </c>
      <c r="S91" t="s">
        <v>745</v>
      </c>
      <c r="T91" t="s">
        <v>539</v>
      </c>
      <c r="U91" t="s">
        <v>539</v>
      </c>
      <c r="V91" s="1">
        <v>10058</v>
      </c>
    </row>
    <row r="92" spans="1:22" x14ac:dyDescent="0.3">
      <c r="A92" t="s">
        <v>690</v>
      </c>
      <c r="B92">
        <v>2019</v>
      </c>
      <c r="D92" t="s">
        <v>17</v>
      </c>
      <c r="E92" t="s">
        <v>18</v>
      </c>
      <c r="F92" t="s">
        <v>19</v>
      </c>
      <c r="G92" s="1">
        <v>313000000</v>
      </c>
      <c r="H92" s="1">
        <f t="shared" si="2"/>
        <v>313000</v>
      </c>
      <c r="I92" t="s">
        <v>20</v>
      </c>
      <c r="J92" t="s">
        <v>21</v>
      </c>
      <c r="K92" t="s">
        <v>540</v>
      </c>
      <c r="L92" t="s">
        <v>541</v>
      </c>
      <c r="M92" t="s">
        <v>542</v>
      </c>
      <c r="N92">
        <v>-6.7660999999999998</v>
      </c>
      <c r="O92">
        <v>54.617800000000003</v>
      </c>
      <c r="P92" t="s">
        <v>543</v>
      </c>
      <c r="Q92" t="s">
        <v>544</v>
      </c>
      <c r="R92" t="s">
        <v>545</v>
      </c>
      <c r="S92" t="s">
        <v>745</v>
      </c>
      <c r="T92" t="s">
        <v>546</v>
      </c>
      <c r="U92" t="s">
        <v>546</v>
      </c>
      <c r="V92" s="1">
        <v>11599</v>
      </c>
    </row>
    <row r="93" spans="1:22" x14ac:dyDescent="0.3">
      <c r="A93" t="s">
        <v>691</v>
      </c>
      <c r="B93">
        <v>2019</v>
      </c>
      <c r="D93" t="s">
        <v>17</v>
      </c>
      <c r="E93" t="s">
        <v>18</v>
      </c>
      <c r="F93" t="s">
        <v>19</v>
      </c>
      <c r="G93" s="1">
        <v>559000000</v>
      </c>
      <c r="H93" s="1">
        <f t="shared" si="2"/>
        <v>559000</v>
      </c>
      <c r="I93" t="s">
        <v>20</v>
      </c>
      <c r="J93" t="s">
        <v>21</v>
      </c>
      <c r="K93" t="s">
        <v>547</v>
      </c>
      <c r="L93" t="s">
        <v>548</v>
      </c>
      <c r="M93" t="s">
        <v>549</v>
      </c>
      <c r="N93">
        <v>-2.4714999999999998</v>
      </c>
      <c r="O93">
        <v>55.979010000000002</v>
      </c>
      <c r="P93" t="s">
        <v>550</v>
      </c>
      <c r="R93" t="s">
        <v>551</v>
      </c>
      <c r="S93" t="s">
        <v>745</v>
      </c>
      <c r="T93" t="s">
        <v>552</v>
      </c>
      <c r="U93" t="s">
        <v>552</v>
      </c>
      <c r="V93" s="1">
        <v>9030</v>
      </c>
    </row>
  </sheetData>
  <autoFilter ref="B1:T93" xr:uid="{00000000-0001-0000-0000-000000000000}"/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CC245-CB17-4DF3-B47B-BE07663F0FA1}">
  <dimension ref="A1:BX13"/>
  <sheetViews>
    <sheetView workbookViewId="0">
      <selection activeCell="G12" sqref="G12"/>
    </sheetView>
  </sheetViews>
  <sheetFormatPr defaultRowHeight="14.4" x14ac:dyDescent="0.3"/>
  <sheetData>
    <row r="1" spans="1:76" x14ac:dyDescent="0.3">
      <c r="B1" t="s">
        <v>600</v>
      </c>
      <c r="C1" t="s">
        <v>601</v>
      </c>
      <c r="D1" t="s">
        <v>602</v>
      </c>
      <c r="E1" t="s">
        <v>603</v>
      </c>
      <c r="F1" t="s">
        <v>604</v>
      </c>
      <c r="G1" t="s">
        <v>605</v>
      </c>
      <c r="H1" t="s">
        <v>606</v>
      </c>
      <c r="I1" t="s">
        <v>607</v>
      </c>
      <c r="J1" t="s">
        <v>608</v>
      </c>
      <c r="K1" t="s">
        <v>609</v>
      </c>
      <c r="L1" t="s">
        <v>610</v>
      </c>
      <c r="M1" t="s">
        <v>611</v>
      </c>
      <c r="N1" t="s">
        <v>612</v>
      </c>
      <c r="O1" t="s">
        <v>613</v>
      </c>
      <c r="P1" t="s">
        <v>614</v>
      </c>
      <c r="Q1" t="s">
        <v>615</v>
      </c>
      <c r="R1" t="s">
        <v>616</v>
      </c>
      <c r="S1" t="s">
        <v>617</v>
      </c>
      <c r="T1" t="s">
        <v>618</v>
      </c>
      <c r="U1" t="s">
        <v>619</v>
      </c>
      <c r="V1" t="s">
        <v>620</v>
      </c>
      <c r="W1" t="s">
        <v>621</v>
      </c>
      <c r="X1" t="s">
        <v>622</v>
      </c>
      <c r="Y1" t="s">
        <v>623</v>
      </c>
      <c r="Z1" t="s">
        <v>624</v>
      </c>
      <c r="AA1" t="s">
        <v>625</v>
      </c>
      <c r="AB1" t="s">
        <v>626</v>
      </c>
      <c r="AC1" t="s">
        <v>627</v>
      </c>
      <c r="AD1" t="s">
        <v>628</v>
      </c>
      <c r="AE1" t="s">
        <v>629</v>
      </c>
      <c r="AF1" t="s">
        <v>630</v>
      </c>
      <c r="AG1" t="s">
        <v>631</v>
      </c>
      <c r="AH1" t="s">
        <v>632</v>
      </c>
      <c r="AI1" t="s">
        <v>633</v>
      </c>
      <c r="AJ1" t="s">
        <v>634</v>
      </c>
      <c r="AK1" t="s">
        <v>635</v>
      </c>
      <c r="AL1" t="s">
        <v>636</v>
      </c>
      <c r="AM1" t="s">
        <v>637</v>
      </c>
      <c r="AN1" t="s">
        <v>638</v>
      </c>
      <c r="AO1" t="s">
        <v>639</v>
      </c>
      <c r="AP1" t="s">
        <v>640</v>
      </c>
      <c r="AQ1" t="s">
        <v>641</v>
      </c>
      <c r="AR1" t="s">
        <v>642</v>
      </c>
      <c r="AS1" t="s">
        <v>643</v>
      </c>
      <c r="AT1" t="s">
        <v>644</v>
      </c>
      <c r="AU1" t="s">
        <v>645</v>
      </c>
      <c r="AV1" t="s">
        <v>646</v>
      </c>
      <c r="AW1" t="s">
        <v>647</v>
      </c>
      <c r="AX1" t="s">
        <v>648</v>
      </c>
      <c r="AY1" t="s">
        <v>649</v>
      </c>
      <c r="AZ1" t="s">
        <v>650</v>
      </c>
      <c r="BA1" t="s">
        <v>651</v>
      </c>
      <c r="BB1" t="s">
        <v>652</v>
      </c>
      <c r="BC1" t="s">
        <v>653</v>
      </c>
      <c r="BD1" t="s">
        <v>654</v>
      </c>
      <c r="BE1" t="s">
        <v>655</v>
      </c>
      <c r="BF1" t="s">
        <v>656</v>
      </c>
      <c r="BG1" t="s">
        <v>657</v>
      </c>
      <c r="BH1" t="s">
        <v>658</v>
      </c>
      <c r="BI1" t="s">
        <v>659</v>
      </c>
      <c r="BJ1" t="s">
        <v>660</v>
      </c>
      <c r="BK1" t="s">
        <v>661</v>
      </c>
      <c r="BL1" t="s">
        <v>662</v>
      </c>
      <c r="BM1" t="s">
        <v>663</v>
      </c>
      <c r="BN1" t="s">
        <v>664</v>
      </c>
      <c r="BO1" t="s">
        <v>665</v>
      </c>
      <c r="BP1" t="s">
        <v>666</v>
      </c>
      <c r="BQ1" t="s">
        <v>667</v>
      </c>
      <c r="BR1" t="s">
        <v>668</v>
      </c>
      <c r="BS1" t="s">
        <v>669</v>
      </c>
      <c r="BT1" t="s">
        <v>670</v>
      </c>
      <c r="BU1" t="s">
        <v>671</v>
      </c>
      <c r="BV1" t="s">
        <v>672</v>
      </c>
      <c r="BW1" t="s">
        <v>673</v>
      </c>
      <c r="BX1" t="s">
        <v>674</v>
      </c>
    </row>
    <row r="2" spans="1:76" x14ac:dyDescent="0.3">
      <c r="A2" t="s">
        <v>804</v>
      </c>
      <c r="B2">
        <v>67</v>
      </c>
      <c r="C2">
        <v>67</v>
      </c>
      <c r="D2">
        <v>67</v>
      </c>
      <c r="E2">
        <v>67</v>
      </c>
      <c r="F2">
        <v>90</v>
      </c>
      <c r="G2">
        <v>90</v>
      </c>
      <c r="H2">
        <v>90</v>
      </c>
      <c r="I2">
        <v>35</v>
      </c>
      <c r="J2">
        <v>35</v>
      </c>
      <c r="K2">
        <v>35</v>
      </c>
      <c r="L2">
        <v>35</v>
      </c>
      <c r="M2">
        <v>35</v>
      </c>
      <c r="N2">
        <v>35</v>
      </c>
      <c r="O2">
        <v>90</v>
      </c>
      <c r="P2">
        <v>57</v>
      </c>
      <c r="Q2">
        <v>57</v>
      </c>
      <c r="R2">
        <v>57</v>
      </c>
      <c r="S2">
        <v>57</v>
      </c>
      <c r="T2">
        <v>57</v>
      </c>
      <c r="U2">
        <v>18</v>
      </c>
      <c r="V2">
        <v>42</v>
      </c>
      <c r="W2">
        <v>57</v>
      </c>
      <c r="X2">
        <v>57</v>
      </c>
      <c r="Y2">
        <v>57</v>
      </c>
      <c r="Z2">
        <v>57</v>
      </c>
      <c r="AA2">
        <v>57</v>
      </c>
      <c r="AB2">
        <v>57</v>
      </c>
      <c r="AC2">
        <v>57</v>
      </c>
      <c r="AD2">
        <v>57</v>
      </c>
      <c r="AE2">
        <v>57</v>
      </c>
      <c r="AF2">
        <v>57</v>
      </c>
      <c r="AG2">
        <v>57</v>
      </c>
      <c r="AH2">
        <v>57</v>
      </c>
      <c r="AI2">
        <v>57</v>
      </c>
      <c r="AJ2">
        <v>57</v>
      </c>
      <c r="AK2">
        <v>57</v>
      </c>
      <c r="AL2">
        <v>57</v>
      </c>
      <c r="AM2">
        <v>57</v>
      </c>
      <c r="AN2">
        <v>57</v>
      </c>
      <c r="AO2">
        <v>57</v>
      </c>
      <c r="AP2">
        <v>57</v>
      </c>
      <c r="AQ2">
        <v>57</v>
      </c>
      <c r="AR2">
        <v>57</v>
      </c>
      <c r="AS2">
        <v>57</v>
      </c>
      <c r="AT2">
        <v>57</v>
      </c>
      <c r="AU2">
        <v>57</v>
      </c>
      <c r="AV2">
        <v>68</v>
      </c>
      <c r="AW2">
        <v>68</v>
      </c>
      <c r="AX2">
        <v>68</v>
      </c>
      <c r="AY2">
        <v>68</v>
      </c>
      <c r="AZ2">
        <v>68</v>
      </c>
      <c r="BA2">
        <v>68</v>
      </c>
      <c r="BB2">
        <v>68</v>
      </c>
      <c r="BC2">
        <v>68</v>
      </c>
      <c r="BD2">
        <v>68</v>
      </c>
      <c r="BE2">
        <v>68</v>
      </c>
      <c r="BF2">
        <v>68</v>
      </c>
      <c r="BG2">
        <v>68</v>
      </c>
      <c r="BH2">
        <v>68</v>
      </c>
      <c r="BI2">
        <v>68</v>
      </c>
      <c r="BJ2">
        <v>68</v>
      </c>
      <c r="BK2">
        <v>68</v>
      </c>
      <c r="BL2">
        <v>68</v>
      </c>
      <c r="BM2">
        <v>68</v>
      </c>
      <c r="BN2">
        <v>68</v>
      </c>
      <c r="BO2">
        <v>68</v>
      </c>
      <c r="BP2">
        <v>68</v>
      </c>
      <c r="BQ2">
        <v>68</v>
      </c>
      <c r="BR2">
        <v>68</v>
      </c>
      <c r="BS2">
        <v>73</v>
      </c>
      <c r="BT2">
        <v>73</v>
      </c>
      <c r="BU2">
        <v>73</v>
      </c>
      <c r="BV2">
        <v>73</v>
      </c>
      <c r="BW2">
        <v>46</v>
      </c>
      <c r="BX2">
        <v>46</v>
      </c>
    </row>
    <row r="3" spans="1:76" x14ac:dyDescent="0.3">
      <c r="A3" t="s">
        <v>805</v>
      </c>
      <c r="B3">
        <v>93</v>
      </c>
      <c r="C3">
        <v>93</v>
      </c>
      <c r="D3">
        <v>93</v>
      </c>
      <c r="E3">
        <v>93</v>
      </c>
      <c r="F3">
        <v>90</v>
      </c>
      <c r="G3">
        <v>90</v>
      </c>
      <c r="H3">
        <v>90</v>
      </c>
      <c r="I3">
        <v>65</v>
      </c>
      <c r="J3">
        <v>65</v>
      </c>
      <c r="K3">
        <v>65</v>
      </c>
      <c r="L3">
        <v>65</v>
      </c>
      <c r="M3">
        <v>65</v>
      </c>
      <c r="N3">
        <v>65</v>
      </c>
      <c r="O3">
        <v>90</v>
      </c>
      <c r="P3">
        <v>74</v>
      </c>
      <c r="Q3">
        <v>74</v>
      </c>
      <c r="R3">
        <v>74</v>
      </c>
      <c r="S3">
        <v>74</v>
      </c>
      <c r="T3">
        <v>74</v>
      </c>
      <c r="U3">
        <v>23</v>
      </c>
      <c r="V3">
        <v>65</v>
      </c>
      <c r="W3">
        <v>86</v>
      </c>
      <c r="X3">
        <v>86</v>
      </c>
      <c r="Y3">
        <v>86</v>
      </c>
      <c r="Z3">
        <v>86</v>
      </c>
      <c r="AA3">
        <v>86</v>
      </c>
      <c r="AB3">
        <v>86</v>
      </c>
      <c r="AC3">
        <v>86</v>
      </c>
      <c r="AD3">
        <v>86</v>
      </c>
      <c r="AE3">
        <v>86</v>
      </c>
      <c r="AF3">
        <v>86</v>
      </c>
      <c r="AG3">
        <v>86</v>
      </c>
      <c r="AH3">
        <v>86</v>
      </c>
      <c r="AI3">
        <v>86</v>
      </c>
      <c r="AJ3">
        <v>86</v>
      </c>
      <c r="AK3">
        <v>86</v>
      </c>
      <c r="AL3">
        <v>86</v>
      </c>
      <c r="AM3">
        <v>86</v>
      </c>
      <c r="AN3">
        <v>86</v>
      </c>
      <c r="AO3">
        <v>86</v>
      </c>
      <c r="AP3">
        <v>86</v>
      </c>
      <c r="AQ3">
        <v>86</v>
      </c>
      <c r="AR3">
        <v>86</v>
      </c>
      <c r="AS3">
        <v>86</v>
      </c>
      <c r="AT3">
        <v>86</v>
      </c>
      <c r="AU3">
        <v>86</v>
      </c>
      <c r="AV3">
        <v>86</v>
      </c>
      <c r="AW3">
        <v>86</v>
      </c>
      <c r="AX3">
        <v>86</v>
      </c>
      <c r="AY3">
        <v>86</v>
      </c>
      <c r="AZ3">
        <v>86</v>
      </c>
      <c r="BA3">
        <v>86</v>
      </c>
      <c r="BB3">
        <v>86</v>
      </c>
      <c r="BC3">
        <v>86</v>
      </c>
      <c r="BD3">
        <v>86</v>
      </c>
      <c r="BE3">
        <v>86</v>
      </c>
      <c r="BF3">
        <v>86</v>
      </c>
      <c r="BG3">
        <v>86</v>
      </c>
      <c r="BH3">
        <v>86</v>
      </c>
      <c r="BI3">
        <v>86</v>
      </c>
      <c r="BJ3">
        <v>86</v>
      </c>
      <c r="BK3">
        <v>86</v>
      </c>
      <c r="BL3">
        <v>86</v>
      </c>
      <c r="BM3">
        <v>86</v>
      </c>
      <c r="BN3">
        <v>86</v>
      </c>
      <c r="BO3">
        <v>86</v>
      </c>
      <c r="BP3">
        <v>86</v>
      </c>
      <c r="BQ3">
        <v>86</v>
      </c>
      <c r="BR3">
        <v>86</v>
      </c>
      <c r="BS3">
        <v>80</v>
      </c>
      <c r="BT3">
        <v>80</v>
      </c>
      <c r="BU3">
        <v>80</v>
      </c>
      <c r="BV3">
        <v>80</v>
      </c>
      <c r="BW3">
        <v>82</v>
      </c>
      <c r="BX3">
        <v>82</v>
      </c>
    </row>
    <row r="4" spans="1:76" x14ac:dyDescent="0.3">
      <c r="A4" t="s">
        <v>806</v>
      </c>
      <c r="B4">
        <v>82</v>
      </c>
      <c r="C4">
        <v>82</v>
      </c>
      <c r="D4">
        <v>82</v>
      </c>
      <c r="E4">
        <v>82</v>
      </c>
      <c r="F4">
        <v>52</v>
      </c>
      <c r="G4">
        <v>52</v>
      </c>
      <c r="H4">
        <v>52</v>
      </c>
      <c r="I4">
        <v>83</v>
      </c>
      <c r="J4">
        <v>83</v>
      </c>
      <c r="K4">
        <v>83</v>
      </c>
      <c r="L4">
        <v>83</v>
      </c>
      <c r="M4">
        <v>83</v>
      </c>
      <c r="N4">
        <v>83</v>
      </c>
      <c r="O4">
        <v>52</v>
      </c>
      <c r="P4">
        <v>70</v>
      </c>
      <c r="Q4">
        <v>70</v>
      </c>
      <c r="R4">
        <v>70</v>
      </c>
      <c r="S4">
        <v>70</v>
      </c>
      <c r="T4">
        <v>70</v>
      </c>
      <c r="U4">
        <v>35</v>
      </c>
      <c r="V4">
        <v>82</v>
      </c>
      <c r="W4">
        <v>48</v>
      </c>
      <c r="X4">
        <v>48</v>
      </c>
      <c r="Y4">
        <v>48</v>
      </c>
      <c r="Z4">
        <v>48</v>
      </c>
      <c r="AA4">
        <v>48</v>
      </c>
      <c r="AB4">
        <v>48</v>
      </c>
      <c r="AC4">
        <v>48</v>
      </c>
      <c r="AD4">
        <v>48</v>
      </c>
      <c r="AE4">
        <v>48</v>
      </c>
      <c r="AF4">
        <v>48</v>
      </c>
      <c r="AG4">
        <v>48</v>
      </c>
      <c r="AH4">
        <v>48</v>
      </c>
      <c r="AI4">
        <v>48</v>
      </c>
      <c r="AJ4">
        <v>48</v>
      </c>
      <c r="AK4">
        <v>48</v>
      </c>
      <c r="AL4">
        <v>48</v>
      </c>
      <c r="AM4">
        <v>48</v>
      </c>
      <c r="AN4">
        <v>48</v>
      </c>
      <c r="AO4">
        <v>48</v>
      </c>
      <c r="AP4">
        <v>48</v>
      </c>
      <c r="AQ4">
        <v>48</v>
      </c>
      <c r="AR4">
        <v>48</v>
      </c>
      <c r="AS4">
        <v>48</v>
      </c>
      <c r="AT4">
        <v>48</v>
      </c>
      <c r="AU4">
        <v>48</v>
      </c>
      <c r="AV4">
        <v>63</v>
      </c>
      <c r="AW4">
        <v>63</v>
      </c>
      <c r="AX4">
        <v>63</v>
      </c>
      <c r="AY4">
        <v>63</v>
      </c>
      <c r="AZ4">
        <v>63</v>
      </c>
      <c r="BA4">
        <v>63</v>
      </c>
      <c r="BB4">
        <v>63</v>
      </c>
      <c r="BC4">
        <v>63</v>
      </c>
      <c r="BD4">
        <v>63</v>
      </c>
      <c r="BE4">
        <v>63</v>
      </c>
      <c r="BF4">
        <v>63</v>
      </c>
      <c r="BG4">
        <v>63</v>
      </c>
      <c r="BH4">
        <v>63</v>
      </c>
      <c r="BI4">
        <v>63</v>
      </c>
      <c r="BJ4">
        <v>63</v>
      </c>
      <c r="BK4">
        <v>63</v>
      </c>
      <c r="BL4">
        <v>63</v>
      </c>
      <c r="BM4">
        <v>63</v>
      </c>
      <c r="BN4">
        <v>63</v>
      </c>
      <c r="BO4">
        <v>63</v>
      </c>
      <c r="BP4">
        <v>63</v>
      </c>
      <c r="BQ4">
        <v>63</v>
      </c>
      <c r="BR4">
        <v>63</v>
      </c>
      <c r="BS4">
        <v>58</v>
      </c>
      <c r="BT4">
        <v>58</v>
      </c>
      <c r="BU4">
        <v>58</v>
      </c>
      <c r="BV4">
        <v>58</v>
      </c>
      <c r="BW4">
        <v>58</v>
      </c>
      <c r="BX4">
        <v>58</v>
      </c>
    </row>
    <row r="5" spans="1:76" x14ac:dyDescent="0.3">
      <c r="A5" t="s">
        <v>807</v>
      </c>
      <c r="B5">
        <v>75</v>
      </c>
      <c r="C5">
        <v>75</v>
      </c>
      <c r="D5">
        <v>75</v>
      </c>
      <c r="E5">
        <v>75</v>
      </c>
      <c r="F5">
        <v>30</v>
      </c>
      <c r="G5">
        <v>30</v>
      </c>
      <c r="H5">
        <v>30</v>
      </c>
      <c r="I5">
        <v>67</v>
      </c>
      <c r="J5">
        <v>67</v>
      </c>
      <c r="K5">
        <v>67</v>
      </c>
      <c r="L5">
        <v>67</v>
      </c>
      <c r="M5">
        <v>67</v>
      </c>
      <c r="N5">
        <v>67</v>
      </c>
      <c r="O5">
        <v>30</v>
      </c>
      <c r="P5">
        <v>58</v>
      </c>
      <c r="Q5">
        <v>58</v>
      </c>
      <c r="R5">
        <v>58</v>
      </c>
      <c r="S5">
        <v>58</v>
      </c>
      <c r="T5">
        <v>58</v>
      </c>
      <c r="U5">
        <v>74</v>
      </c>
      <c r="V5">
        <v>60</v>
      </c>
      <c r="W5">
        <v>51</v>
      </c>
      <c r="X5">
        <v>51</v>
      </c>
      <c r="Y5">
        <v>51</v>
      </c>
      <c r="Z5">
        <v>51</v>
      </c>
      <c r="AA5">
        <v>51</v>
      </c>
      <c r="AB5">
        <v>51</v>
      </c>
      <c r="AC5">
        <v>51</v>
      </c>
      <c r="AD5">
        <v>51</v>
      </c>
      <c r="AE5">
        <v>51</v>
      </c>
      <c r="AF5">
        <v>51</v>
      </c>
      <c r="AG5">
        <v>51</v>
      </c>
      <c r="AH5">
        <v>51</v>
      </c>
      <c r="AI5">
        <v>51</v>
      </c>
      <c r="AJ5">
        <v>51</v>
      </c>
      <c r="AK5">
        <v>51</v>
      </c>
      <c r="AL5">
        <v>51</v>
      </c>
      <c r="AM5">
        <v>51</v>
      </c>
      <c r="AN5">
        <v>51</v>
      </c>
      <c r="AO5">
        <v>51</v>
      </c>
      <c r="AP5">
        <v>51</v>
      </c>
      <c r="AQ5">
        <v>51</v>
      </c>
      <c r="AR5">
        <v>51</v>
      </c>
      <c r="AS5">
        <v>51</v>
      </c>
      <c r="AT5">
        <v>51</v>
      </c>
      <c r="AU5">
        <v>51</v>
      </c>
      <c r="AV5">
        <v>71</v>
      </c>
      <c r="AW5">
        <v>71</v>
      </c>
      <c r="AX5">
        <v>71</v>
      </c>
      <c r="AY5">
        <v>71</v>
      </c>
      <c r="AZ5">
        <v>71</v>
      </c>
      <c r="BA5">
        <v>71</v>
      </c>
      <c r="BB5">
        <v>71</v>
      </c>
      <c r="BC5">
        <v>71</v>
      </c>
      <c r="BD5">
        <v>71</v>
      </c>
      <c r="BE5">
        <v>71</v>
      </c>
      <c r="BF5">
        <v>71</v>
      </c>
      <c r="BG5">
        <v>71</v>
      </c>
      <c r="BH5">
        <v>71</v>
      </c>
      <c r="BI5">
        <v>71</v>
      </c>
      <c r="BJ5">
        <v>71</v>
      </c>
      <c r="BK5">
        <v>71</v>
      </c>
      <c r="BL5">
        <v>71</v>
      </c>
      <c r="BM5">
        <v>71</v>
      </c>
      <c r="BN5">
        <v>71</v>
      </c>
      <c r="BO5">
        <v>71</v>
      </c>
      <c r="BP5">
        <v>71</v>
      </c>
      <c r="BQ5">
        <v>71</v>
      </c>
      <c r="BR5">
        <v>71</v>
      </c>
      <c r="BS5">
        <v>33</v>
      </c>
      <c r="BT5">
        <v>33</v>
      </c>
      <c r="BU5">
        <v>33</v>
      </c>
      <c r="BV5">
        <v>33</v>
      </c>
      <c r="BW5">
        <v>80</v>
      </c>
      <c r="BX5">
        <v>80</v>
      </c>
    </row>
    <row r="6" spans="1:76" x14ac:dyDescent="0.3">
      <c r="A6" t="s">
        <v>808</v>
      </c>
      <c r="B6">
        <v>53</v>
      </c>
      <c r="C6">
        <v>53</v>
      </c>
      <c r="D6">
        <v>53</v>
      </c>
      <c r="E6">
        <v>53</v>
      </c>
      <c r="F6">
        <v>42</v>
      </c>
      <c r="G6">
        <v>42</v>
      </c>
      <c r="H6">
        <v>42</v>
      </c>
      <c r="I6">
        <v>66</v>
      </c>
      <c r="J6">
        <v>66</v>
      </c>
      <c r="K6">
        <v>66</v>
      </c>
      <c r="L6">
        <v>66</v>
      </c>
      <c r="M6">
        <v>66</v>
      </c>
      <c r="N6">
        <v>66</v>
      </c>
      <c r="O6">
        <v>42</v>
      </c>
      <c r="P6">
        <v>57</v>
      </c>
      <c r="Q6">
        <v>57</v>
      </c>
      <c r="R6">
        <v>57</v>
      </c>
      <c r="S6">
        <v>57</v>
      </c>
      <c r="T6">
        <v>57</v>
      </c>
      <c r="U6">
        <v>16</v>
      </c>
      <c r="V6">
        <v>19</v>
      </c>
      <c r="W6">
        <v>42</v>
      </c>
      <c r="X6">
        <v>42</v>
      </c>
      <c r="Y6">
        <v>42</v>
      </c>
      <c r="Z6">
        <v>42</v>
      </c>
      <c r="AA6">
        <v>42</v>
      </c>
      <c r="AB6">
        <v>42</v>
      </c>
      <c r="AC6">
        <v>42</v>
      </c>
      <c r="AD6">
        <v>42</v>
      </c>
      <c r="AE6">
        <v>42</v>
      </c>
      <c r="AF6">
        <v>42</v>
      </c>
      <c r="AG6">
        <v>42</v>
      </c>
      <c r="AH6">
        <v>42</v>
      </c>
      <c r="AI6">
        <v>42</v>
      </c>
      <c r="AJ6">
        <v>42</v>
      </c>
      <c r="AK6">
        <v>42</v>
      </c>
      <c r="AL6">
        <v>42</v>
      </c>
      <c r="AM6">
        <v>42</v>
      </c>
      <c r="AN6">
        <v>42</v>
      </c>
      <c r="AO6">
        <v>42</v>
      </c>
      <c r="AP6">
        <v>42</v>
      </c>
      <c r="AQ6">
        <v>42</v>
      </c>
      <c r="AR6">
        <v>42</v>
      </c>
      <c r="AS6">
        <v>42</v>
      </c>
      <c r="AT6">
        <v>42</v>
      </c>
      <c r="AU6">
        <v>42</v>
      </c>
      <c r="AV6">
        <v>43</v>
      </c>
      <c r="AW6">
        <v>43</v>
      </c>
      <c r="AX6">
        <v>43</v>
      </c>
      <c r="AY6">
        <v>43</v>
      </c>
      <c r="AZ6">
        <v>43</v>
      </c>
      <c r="BA6">
        <v>43</v>
      </c>
      <c r="BB6">
        <v>43</v>
      </c>
      <c r="BC6">
        <v>43</v>
      </c>
      <c r="BD6">
        <v>43</v>
      </c>
      <c r="BE6">
        <v>43</v>
      </c>
      <c r="BF6">
        <v>43</v>
      </c>
      <c r="BG6">
        <v>43</v>
      </c>
      <c r="BH6">
        <v>43</v>
      </c>
      <c r="BI6">
        <v>43</v>
      </c>
      <c r="BJ6">
        <v>43</v>
      </c>
      <c r="BK6">
        <v>43</v>
      </c>
      <c r="BL6">
        <v>43</v>
      </c>
      <c r="BM6">
        <v>43</v>
      </c>
      <c r="BN6">
        <v>43</v>
      </c>
      <c r="BO6">
        <v>43</v>
      </c>
      <c r="BP6">
        <v>43</v>
      </c>
      <c r="BQ6">
        <v>43</v>
      </c>
      <c r="BR6">
        <v>43</v>
      </c>
      <c r="BS6">
        <v>40</v>
      </c>
      <c r="BT6">
        <v>40</v>
      </c>
      <c r="BU6">
        <v>40</v>
      </c>
      <c r="BV6">
        <v>40</v>
      </c>
      <c r="BW6">
        <v>88</v>
      </c>
      <c r="BX6">
        <v>88</v>
      </c>
    </row>
    <row r="7" spans="1:76" x14ac:dyDescent="0.3">
      <c r="A7" t="s">
        <v>809</v>
      </c>
      <c r="B7">
        <v>57</v>
      </c>
      <c r="C7">
        <v>57</v>
      </c>
      <c r="D7">
        <v>57</v>
      </c>
      <c r="E7">
        <v>57</v>
      </c>
      <c r="F7">
        <v>20</v>
      </c>
      <c r="G7">
        <v>20</v>
      </c>
      <c r="H7">
        <v>20</v>
      </c>
      <c r="I7">
        <v>40</v>
      </c>
      <c r="J7">
        <v>40</v>
      </c>
      <c r="K7">
        <v>40</v>
      </c>
      <c r="L7">
        <v>40</v>
      </c>
      <c r="M7">
        <v>40</v>
      </c>
      <c r="N7">
        <v>40</v>
      </c>
      <c r="O7">
        <v>20</v>
      </c>
      <c r="P7">
        <v>29</v>
      </c>
      <c r="Q7">
        <v>29</v>
      </c>
      <c r="R7">
        <v>29</v>
      </c>
      <c r="S7">
        <v>29</v>
      </c>
      <c r="T7">
        <v>29</v>
      </c>
      <c r="U7">
        <v>70</v>
      </c>
      <c r="V7">
        <v>16</v>
      </c>
      <c r="W7">
        <v>44</v>
      </c>
      <c r="X7">
        <v>44</v>
      </c>
      <c r="Y7">
        <v>44</v>
      </c>
      <c r="Z7">
        <v>44</v>
      </c>
      <c r="AA7">
        <v>44</v>
      </c>
      <c r="AB7">
        <v>44</v>
      </c>
      <c r="AC7">
        <v>44</v>
      </c>
      <c r="AD7">
        <v>44</v>
      </c>
      <c r="AE7">
        <v>44</v>
      </c>
      <c r="AF7">
        <v>44</v>
      </c>
      <c r="AG7">
        <v>44</v>
      </c>
      <c r="AH7">
        <v>44</v>
      </c>
      <c r="AI7">
        <v>44</v>
      </c>
      <c r="AJ7">
        <v>44</v>
      </c>
      <c r="AK7">
        <v>44</v>
      </c>
      <c r="AL7">
        <v>44</v>
      </c>
      <c r="AM7">
        <v>44</v>
      </c>
      <c r="AN7">
        <v>44</v>
      </c>
      <c r="AO7">
        <v>44</v>
      </c>
      <c r="AP7">
        <v>44</v>
      </c>
      <c r="AQ7">
        <v>44</v>
      </c>
      <c r="AR7">
        <v>44</v>
      </c>
      <c r="AS7">
        <v>44</v>
      </c>
      <c r="AT7">
        <v>44</v>
      </c>
      <c r="AU7">
        <v>44</v>
      </c>
      <c r="AV7">
        <v>48</v>
      </c>
      <c r="AW7">
        <v>48</v>
      </c>
      <c r="AX7">
        <v>48</v>
      </c>
      <c r="AY7">
        <v>48</v>
      </c>
      <c r="AZ7">
        <v>48</v>
      </c>
      <c r="BA7">
        <v>48</v>
      </c>
      <c r="BB7">
        <v>48</v>
      </c>
      <c r="BC7">
        <v>48</v>
      </c>
      <c r="BD7">
        <v>48</v>
      </c>
      <c r="BE7">
        <v>48</v>
      </c>
      <c r="BF7">
        <v>48</v>
      </c>
      <c r="BG7">
        <v>48</v>
      </c>
      <c r="BH7">
        <v>48</v>
      </c>
      <c r="BI7">
        <v>48</v>
      </c>
      <c r="BJ7">
        <v>48</v>
      </c>
      <c r="BK7">
        <v>48</v>
      </c>
      <c r="BL7">
        <v>48</v>
      </c>
      <c r="BM7">
        <v>48</v>
      </c>
      <c r="BN7">
        <v>48</v>
      </c>
      <c r="BO7">
        <v>48</v>
      </c>
      <c r="BP7">
        <v>48</v>
      </c>
      <c r="BQ7">
        <v>48</v>
      </c>
      <c r="BR7">
        <v>48</v>
      </c>
      <c r="BS7">
        <v>33</v>
      </c>
      <c r="BT7">
        <v>33</v>
      </c>
      <c r="BU7">
        <v>33</v>
      </c>
      <c r="BV7">
        <v>33</v>
      </c>
      <c r="BW7">
        <v>31</v>
      </c>
      <c r="BX7">
        <v>31</v>
      </c>
    </row>
    <row r="11" spans="1:76" x14ac:dyDescent="0.3">
      <c r="A11" t="s">
        <v>557</v>
      </c>
      <c r="B11" t="s">
        <v>561</v>
      </c>
    </row>
    <row r="12" spans="1:76" x14ac:dyDescent="0.3">
      <c r="A12" t="s">
        <v>810</v>
      </c>
      <c r="B12" t="s">
        <v>811</v>
      </c>
    </row>
    <row r="13" spans="1:76" x14ac:dyDescent="0.3">
      <c r="A13" t="s">
        <v>812</v>
      </c>
      <c r="B13" t="s">
        <v>561</v>
      </c>
    </row>
  </sheetData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59B4C-2E96-43E2-B0C2-88F34CCD8BD1}">
  <dimension ref="A1:W13"/>
  <sheetViews>
    <sheetView workbookViewId="0">
      <selection activeCell="B11" sqref="B11"/>
    </sheetView>
  </sheetViews>
  <sheetFormatPr defaultRowHeight="14.4" x14ac:dyDescent="0.3"/>
  <sheetData>
    <row r="1" spans="1:23" x14ac:dyDescent="0.3">
      <c r="B1" t="s">
        <v>577</v>
      </c>
      <c r="C1" t="s">
        <v>578</v>
      </c>
      <c r="D1" t="s">
        <v>579</v>
      </c>
      <c r="E1" t="s">
        <v>580</v>
      </c>
      <c r="F1" t="s">
        <v>581</v>
      </c>
      <c r="G1" t="s">
        <v>582</v>
      </c>
      <c r="H1" t="s">
        <v>583</v>
      </c>
      <c r="I1" t="s">
        <v>584</v>
      </c>
      <c r="J1" t="s">
        <v>585</v>
      </c>
      <c r="K1" t="s">
        <v>586</v>
      </c>
      <c r="L1" t="s">
        <v>587</v>
      </c>
      <c r="M1" t="s">
        <v>588</v>
      </c>
      <c r="N1" t="s">
        <v>589</v>
      </c>
      <c r="O1" t="s">
        <v>590</v>
      </c>
      <c r="P1" t="s">
        <v>591</v>
      </c>
      <c r="Q1" t="s">
        <v>592</v>
      </c>
      <c r="R1" t="s">
        <v>593</v>
      </c>
      <c r="S1" t="s">
        <v>594</v>
      </c>
      <c r="T1" t="s">
        <v>595</v>
      </c>
      <c r="U1" t="s">
        <v>596</v>
      </c>
      <c r="V1" t="s">
        <v>597</v>
      </c>
      <c r="W1" t="s">
        <v>598</v>
      </c>
    </row>
    <row r="2" spans="1:23" x14ac:dyDescent="0.3">
      <c r="A2" t="s">
        <v>804</v>
      </c>
      <c r="B2">
        <v>86</v>
      </c>
      <c r="C2">
        <v>86</v>
      </c>
      <c r="D2">
        <v>86</v>
      </c>
      <c r="E2">
        <v>86</v>
      </c>
      <c r="F2">
        <v>86</v>
      </c>
      <c r="G2">
        <v>86</v>
      </c>
      <c r="H2">
        <v>46</v>
      </c>
      <c r="I2">
        <v>46</v>
      </c>
      <c r="J2">
        <v>46</v>
      </c>
      <c r="K2">
        <v>104</v>
      </c>
      <c r="L2">
        <v>104</v>
      </c>
      <c r="M2">
        <v>42</v>
      </c>
      <c r="N2">
        <v>42</v>
      </c>
      <c r="O2">
        <v>42</v>
      </c>
      <c r="P2">
        <v>42</v>
      </c>
      <c r="Q2">
        <v>42</v>
      </c>
      <c r="R2">
        <v>73</v>
      </c>
      <c r="S2">
        <v>73</v>
      </c>
      <c r="T2">
        <v>73</v>
      </c>
      <c r="U2">
        <v>73</v>
      </c>
      <c r="V2">
        <v>73</v>
      </c>
      <c r="W2">
        <v>86</v>
      </c>
    </row>
    <row r="3" spans="1:23" x14ac:dyDescent="0.3">
      <c r="A3" t="s">
        <v>805</v>
      </c>
      <c r="B3">
        <v>92</v>
      </c>
      <c r="C3">
        <v>92</v>
      </c>
      <c r="D3">
        <v>92</v>
      </c>
      <c r="E3">
        <v>92</v>
      </c>
      <c r="F3">
        <v>92</v>
      </c>
      <c r="G3">
        <v>92</v>
      </c>
      <c r="H3">
        <v>82</v>
      </c>
      <c r="I3">
        <v>82</v>
      </c>
      <c r="J3">
        <v>82</v>
      </c>
      <c r="K3">
        <v>51</v>
      </c>
      <c r="L3">
        <v>51</v>
      </c>
      <c r="M3">
        <v>65</v>
      </c>
      <c r="N3">
        <v>65</v>
      </c>
      <c r="O3">
        <v>65</v>
      </c>
      <c r="P3">
        <v>65</v>
      </c>
      <c r="Q3">
        <v>65</v>
      </c>
      <c r="R3">
        <v>80</v>
      </c>
      <c r="S3">
        <v>80</v>
      </c>
      <c r="T3">
        <v>80</v>
      </c>
      <c r="U3">
        <v>80</v>
      </c>
      <c r="V3">
        <v>80</v>
      </c>
      <c r="W3">
        <v>92</v>
      </c>
    </row>
    <row r="4" spans="1:23" x14ac:dyDescent="0.3">
      <c r="A4" t="s">
        <v>806</v>
      </c>
      <c r="B4">
        <v>52</v>
      </c>
      <c r="C4">
        <v>52</v>
      </c>
      <c r="D4">
        <v>52</v>
      </c>
      <c r="E4">
        <v>52</v>
      </c>
      <c r="F4">
        <v>52</v>
      </c>
      <c r="G4">
        <v>52</v>
      </c>
      <c r="H4">
        <v>58</v>
      </c>
      <c r="I4">
        <v>58</v>
      </c>
      <c r="J4">
        <v>58</v>
      </c>
      <c r="K4">
        <v>77</v>
      </c>
      <c r="L4">
        <v>77</v>
      </c>
      <c r="M4">
        <v>82</v>
      </c>
      <c r="N4">
        <v>82</v>
      </c>
      <c r="O4">
        <v>82</v>
      </c>
      <c r="P4">
        <v>82</v>
      </c>
      <c r="Q4">
        <v>82</v>
      </c>
      <c r="R4">
        <v>58</v>
      </c>
      <c r="S4">
        <v>58</v>
      </c>
      <c r="T4">
        <v>58</v>
      </c>
      <c r="U4">
        <v>58</v>
      </c>
      <c r="V4">
        <v>58</v>
      </c>
      <c r="W4">
        <v>52</v>
      </c>
    </row>
    <row r="5" spans="1:23" x14ac:dyDescent="0.3">
      <c r="A5" t="s">
        <v>807</v>
      </c>
      <c r="B5">
        <v>25</v>
      </c>
      <c r="C5">
        <v>25</v>
      </c>
      <c r="D5">
        <v>25</v>
      </c>
      <c r="E5">
        <v>25</v>
      </c>
      <c r="F5">
        <v>25</v>
      </c>
      <c r="G5">
        <v>25</v>
      </c>
      <c r="H5">
        <v>80</v>
      </c>
      <c r="I5">
        <v>80</v>
      </c>
      <c r="J5">
        <v>80</v>
      </c>
      <c r="K5">
        <v>52</v>
      </c>
      <c r="L5">
        <v>52</v>
      </c>
      <c r="M5">
        <v>60</v>
      </c>
      <c r="N5">
        <v>60</v>
      </c>
      <c r="O5">
        <v>60</v>
      </c>
      <c r="P5">
        <v>60</v>
      </c>
      <c r="Q5">
        <v>60</v>
      </c>
      <c r="R5">
        <v>33</v>
      </c>
      <c r="S5">
        <v>33</v>
      </c>
      <c r="T5">
        <v>33</v>
      </c>
      <c r="U5">
        <v>33</v>
      </c>
      <c r="V5">
        <v>33</v>
      </c>
      <c r="W5">
        <v>25</v>
      </c>
    </row>
    <row r="6" spans="1:23" x14ac:dyDescent="0.3">
      <c r="A6" t="s">
        <v>808</v>
      </c>
      <c r="B6">
        <v>43</v>
      </c>
      <c r="C6">
        <v>43</v>
      </c>
      <c r="D6">
        <v>43</v>
      </c>
      <c r="E6">
        <v>43</v>
      </c>
      <c r="F6">
        <v>43</v>
      </c>
      <c r="G6">
        <v>43</v>
      </c>
      <c r="H6">
        <v>88</v>
      </c>
      <c r="I6">
        <v>88</v>
      </c>
      <c r="J6">
        <v>88</v>
      </c>
      <c r="K6">
        <v>110</v>
      </c>
      <c r="L6">
        <v>110</v>
      </c>
      <c r="M6">
        <v>19</v>
      </c>
      <c r="N6">
        <v>19</v>
      </c>
      <c r="O6">
        <v>19</v>
      </c>
      <c r="P6">
        <v>19</v>
      </c>
      <c r="Q6">
        <v>19</v>
      </c>
      <c r="R6">
        <v>40</v>
      </c>
      <c r="S6">
        <v>40</v>
      </c>
      <c r="T6">
        <v>40</v>
      </c>
      <c r="U6">
        <v>40</v>
      </c>
      <c r="V6">
        <v>40</v>
      </c>
      <c r="W6">
        <v>43</v>
      </c>
    </row>
    <row r="7" spans="1:23" x14ac:dyDescent="0.3">
      <c r="A7" t="s">
        <v>809</v>
      </c>
      <c r="B7">
        <v>28</v>
      </c>
      <c r="C7">
        <v>28</v>
      </c>
      <c r="D7">
        <v>28</v>
      </c>
      <c r="E7">
        <v>28</v>
      </c>
      <c r="F7">
        <v>28</v>
      </c>
      <c r="G7">
        <v>28</v>
      </c>
      <c r="H7">
        <v>31</v>
      </c>
      <c r="I7">
        <v>31</v>
      </c>
      <c r="J7">
        <v>31</v>
      </c>
      <c r="K7">
        <v>28</v>
      </c>
      <c r="L7">
        <v>28</v>
      </c>
      <c r="M7">
        <v>16</v>
      </c>
      <c r="N7">
        <v>16</v>
      </c>
      <c r="O7">
        <v>16</v>
      </c>
      <c r="P7">
        <v>16</v>
      </c>
      <c r="Q7">
        <v>16</v>
      </c>
      <c r="R7">
        <v>33</v>
      </c>
      <c r="S7">
        <v>33</v>
      </c>
      <c r="T7">
        <v>33</v>
      </c>
      <c r="U7">
        <v>33</v>
      </c>
      <c r="V7">
        <v>33</v>
      </c>
      <c r="W7">
        <v>28</v>
      </c>
    </row>
    <row r="11" spans="1:23" x14ac:dyDescent="0.3">
      <c r="A11" t="s">
        <v>562</v>
      </c>
      <c r="B11" t="s">
        <v>813</v>
      </c>
    </row>
    <row r="12" spans="1:23" x14ac:dyDescent="0.3">
      <c r="A12" t="s">
        <v>559</v>
      </c>
      <c r="B12" t="s">
        <v>560</v>
      </c>
    </row>
    <row r="13" spans="1:23" x14ac:dyDescent="0.3">
      <c r="A13" t="s">
        <v>814</v>
      </c>
      <c r="B13" t="s">
        <v>813</v>
      </c>
    </row>
  </sheetData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CC921-8601-4BC9-9DC8-A2C9929CDE12}">
  <dimension ref="A1:M52"/>
  <sheetViews>
    <sheetView workbookViewId="0">
      <selection sqref="A1:XFD1048576"/>
    </sheetView>
  </sheetViews>
  <sheetFormatPr defaultRowHeight="14.4" x14ac:dyDescent="0.3"/>
  <cols>
    <col min="2" max="2" width="16.33203125" bestFit="1" customWidth="1"/>
    <col min="3" max="3" width="17.33203125" bestFit="1" customWidth="1"/>
    <col min="4" max="4" width="18.44140625" customWidth="1"/>
    <col min="5" max="5" width="11.33203125" style="1" bestFit="1" customWidth="1"/>
    <col min="6" max="6" width="11.33203125" style="1" customWidth="1"/>
    <col min="7" max="7" width="11.88671875" customWidth="1"/>
    <col min="8" max="8" width="19.88671875" bestFit="1" customWidth="1"/>
    <col min="9" max="9" width="15.77734375" style="1" bestFit="1" customWidth="1"/>
    <col min="12" max="12" width="27" bestFit="1" customWidth="1"/>
    <col min="13" max="13" width="16.33203125" style="1" bestFit="1" customWidth="1"/>
  </cols>
  <sheetData>
    <row r="1" spans="1:13" x14ac:dyDescent="0.3">
      <c r="B1" t="s">
        <v>775</v>
      </c>
      <c r="C1" t="s">
        <v>746</v>
      </c>
      <c r="D1" t="s">
        <v>16</v>
      </c>
      <c r="E1" s="1" t="s">
        <v>750</v>
      </c>
      <c r="F1" s="1" t="s">
        <v>757</v>
      </c>
      <c r="G1" t="s">
        <v>747</v>
      </c>
      <c r="H1" t="s">
        <v>748</v>
      </c>
      <c r="I1" s="1" t="s">
        <v>754</v>
      </c>
      <c r="L1" t="s">
        <v>772</v>
      </c>
    </row>
    <row r="2" spans="1:13" s="4" customFormat="1" x14ac:dyDescent="0.3">
      <c r="A2" s="4" t="s">
        <v>577</v>
      </c>
      <c r="B2" s="4" t="s">
        <v>776</v>
      </c>
      <c r="C2" s="4" t="s">
        <v>562</v>
      </c>
      <c r="D2" s="4" t="s">
        <v>749</v>
      </c>
      <c r="E2" s="2">
        <v>11749</v>
      </c>
      <c r="F2" s="2" t="s">
        <v>758</v>
      </c>
      <c r="G2" s="4" t="s">
        <v>751</v>
      </c>
      <c r="H2" s="4" t="s">
        <v>752</v>
      </c>
      <c r="I2" s="2">
        <v>10000000</v>
      </c>
      <c r="L2" s="4" t="s">
        <v>773</v>
      </c>
      <c r="M2" s="2"/>
    </row>
    <row r="3" spans="1:13" x14ac:dyDescent="0.3">
      <c r="A3" t="s">
        <v>578</v>
      </c>
      <c r="B3" t="s">
        <v>776</v>
      </c>
      <c r="C3" t="s">
        <v>562</v>
      </c>
      <c r="D3" t="s">
        <v>756</v>
      </c>
      <c r="E3" s="1">
        <f>120655+55845</f>
        <v>176500</v>
      </c>
      <c r="F3" s="1" t="s">
        <v>758</v>
      </c>
      <c r="G3" t="s">
        <v>753</v>
      </c>
      <c r="H3" t="s">
        <v>760</v>
      </c>
      <c r="I3" s="1">
        <v>31680000</v>
      </c>
      <c r="L3" t="s">
        <v>792</v>
      </c>
    </row>
    <row r="4" spans="1:13" x14ac:dyDescent="0.3">
      <c r="A4" t="s">
        <v>579</v>
      </c>
      <c r="B4" t="s">
        <v>776</v>
      </c>
      <c r="C4" t="s">
        <v>562</v>
      </c>
      <c r="D4" t="s">
        <v>759</v>
      </c>
      <c r="E4" s="1">
        <f>130827+79513</f>
        <v>210340</v>
      </c>
      <c r="F4" s="1" t="s">
        <v>758</v>
      </c>
      <c r="G4" t="s">
        <v>753</v>
      </c>
      <c r="H4" t="s">
        <v>761</v>
      </c>
      <c r="I4" s="1">
        <v>15680000</v>
      </c>
    </row>
    <row r="5" spans="1:13" x14ac:dyDescent="0.3">
      <c r="A5" t="s">
        <v>580</v>
      </c>
      <c r="B5" t="s">
        <v>776</v>
      </c>
      <c r="C5" t="s">
        <v>562</v>
      </c>
      <c r="D5" t="s">
        <v>756</v>
      </c>
      <c r="E5" s="1">
        <f>120655+55845</f>
        <v>176500</v>
      </c>
      <c r="F5" s="1" t="s">
        <v>758</v>
      </c>
      <c r="G5" t="s">
        <v>753</v>
      </c>
      <c r="H5" t="s">
        <v>762</v>
      </c>
      <c r="I5" s="1">
        <v>11530000</v>
      </c>
    </row>
    <row r="6" spans="1:13" x14ac:dyDescent="0.3">
      <c r="A6" t="s">
        <v>581</v>
      </c>
      <c r="B6" t="s">
        <v>776</v>
      </c>
      <c r="C6" t="s">
        <v>562</v>
      </c>
      <c r="D6" t="s">
        <v>756</v>
      </c>
      <c r="E6" s="1">
        <f>120655+55845</f>
        <v>176500</v>
      </c>
      <c r="F6" s="1" t="s">
        <v>758</v>
      </c>
      <c r="G6" t="s">
        <v>753</v>
      </c>
      <c r="H6" t="s">
        <v>763</v>
      </c>
      <c r="I6" s="1">
        <v>20720000</v>
      </c>
    </row>
    <row r="7" spans="1:13" x14ac:dyDescent="0.3">
      <c r="A7" t="s">
        <v>582</v>
      </c>
      <c r="B7" t="s">
        <v>776</v>
      </c>
      <c r="C7" t="s">
        <v>562</v>
      </c>
      <c r="D7" t="s">
        <v>755</v>
      </c>
      <c r="E7" s="1">
        <f>31262+12654</f>
        <v>43916</v>
      </c>
      <c r="F7" s="1" t="s">
        <v>758</v>
      </c>
      <c r="G7" t="s">
        <v>753</v>
      </c>
      <c r="H7" t="s">
        <v>764</v>
      </c>
      <c r="I7" s="1">
        <v>15140000</v>
      </c>
    </row>
    <row r="8" spans="1:13" s="4" customFormat="1" x14ac:dyDescent="0.3">
      <c r="A8" s="4" t="s">
        <v>583</v>
      </c>
      <c r="B8" s="4" t="s">
        <v>776</v>
      </c>
      <c r="C8" s="4" t="s">
        <v>765</v>
      </c>
      <c r="D8" s="4" t="s">
        <v>768</v>
      </c>
      <c r="E8" s="2">
        <v>251412</v>
      </c>
      <c r="F8" s="2" t="s">
        <v>758</v>
      </c>
      <c r="G8" s="4" t="s">
        <v>767</v>
      </c>
      <c r="H8" s="4" t="s">
        <v>769</v>
      </c>
      <c r="I8" s="2">
        <v>14900000</v>
      </c>
      <c r="M8" s="2"/>
    </row>
    <row r="9" spans="1:13" x14ac:dyDescent="0.3">
      <c r="A9" t="s">
        <v>584</v>
      </c>
      <c r="B9" t="s">
        <v>776</v>
      </c>
      <c r="C9" t="s">
        <v>765</v>
      </c>
      <c r="D9" t="s">
        <v>771</v>
      </c>
      <c r="E9" s="1">
        <v>253997</v>
      </c>
      <c r="F9" s="1" t="s">
        <v>758</v>
      </c>
      <c r="G9" t="s">
        <v>767</v>
      </c>
      <c r="H9" t="s">
        <v>770</v>
      </c>
      <c r="I9" s="1">
        <v>39400000</v>
      </c>
    </row>
    <row r="10" spans="1:13" x14ac:dyDescent="0.3">
      <c r="A10" t="s">
        <v>585</v>
      </c>
      <c r="B10" t="s">
        <v>776</v>
      </c>
      <c r="C10" t="s">
        <v>765</v>
      </c>
      <c r="D10" t="s">
        <v>774</v>
      </c>
      <c r="E10" s="1">
        <v>667594</v>
      </c>
      <c r="F10" s="1" t="s">
        <v>758</v>
      </c>
      <c r="G10" t="s">
        <v>767</v>
      </c>
      <c r="H10" t="s">
        <v>766</v>
      </c>
      <c r="I10" s="1">
        <v>33000000</v>
      </c>
    </row>
    <row r="11" spans="1:13" s="4" customFormat="1" x14ac:dyDescent="0.3">
      <c r="A11" s="4" t="s">
        <v>586</v>
      </c>
      <c r="B11" s="4" t="s">
        <v>777</v>
      </c>
      <c r="C11" s="4" t="s">
        <v>558</v>
      </c>
      <c r="D11" s="4" t="s">
        <v>780</v>
      </c>
      <c r="E11" s="2">
        <v>170000</v>
      </c>
      <c r="F11" s="2" t="s">
        <v>758</v>
      </c>
      <c r="G11" s="4" t="s">
        <v>753</v>
      </c>
      <c r="H11" s="4" t="s">
        <v>778</v>
      </c>
      <c r="I11" s="2">
        <v>73700000</v>
      </c>
      <c r="M11" s="2"/>
    </row>
    <row r="12" spans="1:13" x14ac:dyDescent="0.3">
      <c r="A12" t="s">
        <v>587</v>
      </c>
      <c r="B12" t="s">
        <v>777</v>
      </c>
      <c r="C12" t="s">
        <v>558</v>
      </c>
      <c r="D12" t="s">
        <v>781</v>
      </c>
      <c r="E12" s="1">
        <v>655359</v>
      </c>
      <c r="F12" s="1" t="s">
        <v>758</v>
      </c>
      <c r="G12" t="s">
        <v>753</v>
      </c>
      <c r="H12" t="s">
        <v>779</v>
      </c>
      <c r="I12" s="1">
        <v>49900000</v>
      </c>
    </row>
    <row r="13" spans="1:13" x14ac:dyDescent="0.3">
      <c r="A13" t="s">
        <v>588</v>
      </c>
      <c r="B13" t="s">
        <v>777</v>
      </c>
      <c r="C13" t="s">
        <v>787</v>
      </c>
      <c r="D13" t="s">
        <v>788</v>
      </c>
      <c r="E13" s="1">
        <v>5672</v>
      </c>
      <c r="F13" s="1" t="s">
        <v>758</v>
      </c>
      <c r="G13" t="s">
        <v>751</v>
      </c>
      <c r="H13" t="s">
        <v>782</v>
      </c>
      <c r="I13" s="1">
        <v>58000000</v>
      </c>
    </row>
    <row r="14" spans="1:13" s="4" customFormat="1" x14ac:dyDescent="0.3">
      <c r="A14" s="4" t="s">
        <v>589</v>
      </c>
      <c r="B14" s="4" t="s">
        <v>777</v>
      </c>
      <c r="C14" s="4" t="s">
        <v>559</v>
      </c>
      <c r="D14" s="4" t="s">
        <v>789</v>
      </c>
      <c r="E14" s="2">
        <v>230331</v>
      </c>
      <c r="F14" s="2" t="s">
        <v>758</v>
      </c>
      <c r="G14" s="4" t="s">
        <v>751</v>
      </c>
      <c r="H14" s="4" t="s">
        <v>783</v>
      </c>
      <c r="I14" s="2">
        <v>56000000</v>
      </c>
      <c r="M14" s="2"/>
    </row>
    <row r="15" spans="1:13" x14ac:dyDescent="0.3">
      <c r="A15" t="s">
        <v>590</v>
      </c>
      <c r="B15" t="s">
        <v>777</v>
      </c>
      <c r="C15" t="s">
        <v>559</v>
      </c>
      <c r="D15" t="s">
        <v>790</v>
      </c>
      <c r="E15" s="1">
        <v>1906</v>
      </c>
      <c r="F15" s="1" t="s">
        <v>758</v>
      </c>
      <c r="G15" t="s">
        <v>751</v>
      </c>
      <c r="H15" t="s">
        <v>784</v>
      </c>
      <c r="I15" s="1">
        <v>40000000</v>
      </c>
    </row>
    <row r="16" spans="1:13" x14ac:dyDescent="0.3">
      <c r="A16" t="s">
        <v>591</v>
      </c>
      <c r="B16" t="s">
        <v>777</v>
      </c>
      <c r="C16" t="s">
        <v>559</v>
      </c>
      <c r="D16" t="s">
        <v>791</v>
      </c>
      <c r="E16" s="1">
        <v>3487</v>
      </c>
      <c r="F16" s="1" t="s">
        <v>758</v>
      </c>
      <c r="G16" t="s">
        <v>751</v>
      </c>
      <c r="H16" t="s">
        <v>785</v>
      </c>
      <c r="I16" s="1">
        <v>44000000</v>
      </c>
    </row>
    <row r="17" spans="1:13" x14ac:dyDescent="0.3">
      <c r="A17" t="s">
        <v>592</v>
      </c>
      <c r="B17" t="s">
        <v>777</v>
      </c>
      <c r="C17" t="s">
        <v>559</v>
      </c>
      <c r="D17" t="s">
        <v>786</v>
      </c>
      <c r="E17" s="1">
        <v>4073</v>
      </c>
      <c r="F17" s="1" t="s">
        <v>758</v>
      </c>
      <c r="G17" t="s">
        <v>751</v>
      </c>
      <c r="H17" t="s">
        <v>786</v>
      </c>
      <c r="I17" s="1">
        <v>14000000</v>
      </c>
    </row>
    <row r="18" spans="1:13" x14ac:dyDescent="0.3">
      <c r="A18" t="s">
        <v>593</v>
      </c>
      <c r="B18" t="s">
        <v>795</v>
      </c>
      <c r="C18" t="s">
        <v>564</v>
      </c>
      <c r="D18" t="s">
        <v>797</v>
      </c>
      <c r="E18" s="1">
        <v>115584</v>
      </c>
      <c r="F18" s="1" t="s">
        <v>758</v>
      </c>
      <c r="G18" t="s">
        <v>753</v>
      </c>
      <c r="H18" t="s">
        <v>796</v>
      </c>
      <c r="I18" s="1">
        <v>42805000</v>
      </c>
    </row>
    <row r="19" spans="1:13" s="4" customFormat="1" x14ac:dyDescent="0.3">
      <c r="A19" s="4" t="s">
        <v>594</v>
      </c>
      <c r="B19" s="4" t="s">
        <v>795</v>
      </c>
      <c r="C19" s="4" t="s">
        <v>564</v>
      </c>
      <c r="D19" s="4" t="s">
        <v>801</v>
      </c>
      <c r="E19" s="2">
        <v>108048</v>
      </c>
      <c r="F19" s="2" t="s">
        <v>758</v>
      </c>
      <c r="G19" s="4" t="s">
        <v>751</v>
      </c>
      <c r="H19" s="4" t="s">
        <v>801</v>
      </c>
      <c r="I19" s="2">
        <v>180460000</v>
      </c>
      <c r="M19" s="2"/>
    </row>
    <row r="20" spans="1:13" x14ac:dyDescent="0.3">
      <c r="A20" t="s">
        <v>595</v>
      </c>
      <c r="B20" t="s">
        <v>795</v>
      </c>
      <c r="C20" t="s">
        <v>564</v>
      </c>
      <c r="D20" t="s">
        <v>793</v>
      </c>
      <c r="E20" s="1">
        <v>1597</v>
      </c>
      <c r="F20" s="1" t="s">
        <v>758</v>
      </c>
      <c r="G20" t="s">
        <v>753</v>
      </c>
      <c r="H20" t="s">
        <v>793</v>
      </c>
      <c r="I20" s="1">
        <v>31641000</v>
      </c>
    </row>
    <row r="21" spans="1:13" x14ac:dyDescent="0.3">
      <c r="A21" t="s">
        <v>596</v>
      </c>
      <c r="B21" t="s">
        <v>795</v>
      </c>
      <c r="C21" t="s">
        <v>564</v>
      </c>
      <c r="D21" t="s">
        <v>799</v>
      </c>
      <c r="E21" s="1">
        <v>14548</v>
      </c>
      <c r="F21" s="1" t="s">
        <v>758</v>
      </c>
      <c r="G21" t="s">
        <v>753</v>
      </c>
      <c r="H21" t="s">
        <v>798</v>
      </c>
      <c r="I21" s="1">
        <v>12937000</v>
      </c>
    </row>
    <row r="22" spans="1:13" ht="17.399999999999999" customHeight="1" x14ac:dyDescent="0.3">
      <c r="A22" t="s">
        <v>597</v>
      </c>
      <c r="B22" t="s">
        <v>795</v>
      </c>
      <c r="C22" t="s">
        <v>564</v>
      </c>
      <c r="D22" t="s">
        <v>800</v>
      </c>
      <c r="E22" s="1">
        <v>11659</v>
      </c>
      <c r="F22" s="1" t="s">
        <v>758</v>
      </c>
      <c r="G22" t="s">
        <v>753</v>
      </c>
      <c r="H22" t="s">
        <v>794</v>
      </c>
      <c r="I22" s="1">
        <v>11903000</v>
      </c>
    </row>
    <row r="23" spans="1:13" ht="17.399999999999999" customHeight="1" x14ac:dyDescent="0.3">
      <c r="A23" t="s">
        <v>598</v>
      </c>
      <c r="B23" t="s">
        <v>795</v>
      </c>
      <c r="C23" t="s">
        <v>568</v>
      </c>
      <c r="D23" t="s">
        <v>802</v>
      </c>
      <c r="E23" s="1">
        <v>275524</v>
      </c>
      <c r="F23" s="1" t="s">
        <v>758</v>
      </c>
      <c r="G23" t="s">
        <v>751</v>
      </c>
      <c r="H23" t="s">
        <v>802</v>
      </c>
      <c r="I23" s="1">
        <v>296000000</v>
      </c>
    </row>
    <row r="24" spans="1:13" ht="17.399999999999999" customHeight="1" x14ac:dyDescent="0.3"/>
    <row r="25" spans="1:13" ht="17.399999999999999" customHeight="1" x14ac:dyDescent="0.3"/>
    <row r="26" spans="1:13" ht="17.399999999999999" customHeight="1" x14ac:dyDescent="0.3"/>
    <row r="27" spans="1:13" ht="17.399999999999999" customHeight="1" x14ac:dyDescent="0.3"/>
    <row r="28" spans="1:13" ht="17.399999999999999" customHeight="1" x14ac:dyDescent="0.3"/>
    <row r="29" spans="1:13" ht="17.399999999999999" customHeight="1" x14ac:dyDescent="0.3"/>
    <row r="30" spans="1:13" ht="17.399999999999999" customHeight="1" x14ac:dyDescent="0.3"/>
    <row r="31" spans="1:13" x14ac:dyDescent="0.3">
      <c r="A31" t="s">
        <v>578</v>
      </c>
      <c r="C31" t="s">
        <v>576</v>
      </c>
      <c r="I31" s="1">
        <v>199</v>
      </c>
      <c r="L31">
        <f t="shared" ref="L31:L52" si="0">K31+J31+I31</f>
        <v>199</v>
      </c>
      <c r="M31" s="1">
        <f t="shared" ref="M31:M52" si="1">L31*$O$2</f>
        <v>0</v>
      </c>
    </row>
    <row r="32" spans="1:13" x14ac:dyDescent="0.3">
      <c r="A32" t="s">
        <v>579</v>
      </c>
      <c r="C32" t="s">
        <v>568</v>
      </c>
      <c r="I32" s="1">
        <v>197</v>
      </c>
      <c r="L32">
        <f t="shared" si="0"/>
        <v>197</v>
      </c>
      <c r="M32" s="1">
        <f t="shared" si="1"/>
        <v>0</v>
      </c>
    </row>
    <row r="33" spans="1:13" x14ac:dyDescent="0.3">
      <c r="A33" t="s">
        <v>580</v>
      </c>
      <c r="C33" t="s">
        <v>557</v>
      </c>
      <c r="I33" s="1">
        <v>2100</v>
      </c>
      <c r="J33">
        <v>3</v>
      </c>
      <c r="K33">
        <v>17</v>
      </c>
      <c r="L33">
        <f t="shared" si="0"/>
        <v>2120</v>
      </c>
      <c r="M33" s="1">
        <f t="shared" si="1"/>
        <v>0</v>
      </c>
    </row>
    <row r="34" spans="1:13" x14ac:dyDescent="0.3">
      <c r="A34" t="s">
        <v>581</v>
      </c>
      <c r="C34" t="s">
        <v>564</v>
      </c>
      <c r="I34" s="1">
        <v>2710</v>
      </c>
      <c r="J34">
        <v>189</v>
      </c>
      <c r="L34">
        <f t="shared" si="0"/>
        <v>2899</v>
      </c>
      <c r="M34" s="1">
        <f t="shared" si="1"/>
        <v>0</v>
      </c>
    </row>
    <row r="35" spans="1:13" x14ac:dyDescent="0.3">
      <c r="A35" t="s">
        <v>582</v>
      </c>
      <c r="C35" t="s">
        <v>555</v>
      </c>
      <c r="I35" s="1">
        <v>766</v>
      </c>
      <c r="J35">
        <v>33</v>
      </c>
      <c r="K35">
        <v>54</v>
      </c>
      <c r="L35">
        <f t="shared" si="0"/>
        <v>853</v>
      </c>
      <c r="M35" s="1">
        <f t="shared" si="1"/>
        <v>0</v>
      </c>
    </row>
    <row r="36" spans="1:13" x14ac:dyDescent="0.3">
      <c r="A36" t="s">
        <v>583</v>
      </c>
      <c r="C36" t="s">
        <v>574</v>
      </c>
      <c r="I36" s="1">
        <v>2553</v>
      </c>
      <c r="J36">
        <v>203</v>
      </c>
      <c r="L36">
        <f t="shared" si="0"/>
        <v>2756</v>
      </c>
      <c r="M36" s="1">
        <f t="shared" si="1"/>
        <v>0</v>
      </c>
    </row>
    <row r="37" spans="1:13" x14ac:dyDescent="0.3">
      <c r="A37" t="s">
        <v>584</v>
      </c>
      <c r="C37" t="s">
        <v>571</v>
      </c>
      <c r="I37" s="1">
        <v>7922</v>
      </c>
      <c r="J37">
        <v>770</v>
      </c>
      <c r="L37">
        <f t="shared" si="0"/>
        <v>8692</v>
      </c>
      <c r="M37" s="1">
        <f t="shared" si="1"/>
        <v>0</v>
      </c>
    </row>
    <row r="38" spans="1:13" x14ac:dyDescent="0.3">
      <c r="A38" t="s">
        <v>585</v>
      </c>
      <c r="C38" t="s">
        <v>563</v>
      </c>
      <c r="I38" s="1">
        <v>390</v>
      </c>
      <c r="L38">
        <f t="shared" si="0"/>
        <v>390</v>
      </c>
      <c r="M38" s="1">
        <f t="shared" si="1"/>
        <v>0</v>
      </c>
    </row>
    <row r="39" spans="1:13" x14ac:dyDescent="0.3">
      <c r="A39" t="s">
        <v>586</v>
      </c>
      <c r="C39" t="s">
        <v>569</v>
      </c>
      <c r="I39" s="1">
        <v>14900</v>
      </c>
      <c r="J39">
        <v>2180</v>
      </c>
      <c r="L39">
        <f t="shared" si="0"/>
        <v>17080</v>
      </c>
      <c r="M39" s="1">
        <f t="shared" si="1"/>
        <v>0</v>
      </c>
    </row>
    <row r="40" spans="1:13" x14ac:dyDescent="0.3">
      <c r="A40" t="s">
        <v>587</v>
      </c>
      <c r="C40" t="s">
        <v>572</v>
      </c>
      <c r="I40" s="1">
        <v>184</v>
      </c>
      <c r="J40">
        <v>70</v>
      </c>
      <c r="L40">
        <f t="shared" si="0"/>
        <v>254</v>
      </c>
      <c r="M40" s="1">
        <f t="shared" si="1"/>
        <v>0</v>
      </c>
    </row>
    <row r="41" spans="1:13" x14ac:dyDescent="0.3">
      <c r="A41" t="s">
        <v>588</v>
      </c>
      <c r="C41" t="s">
        <v>556</v>
      </c>
      <c r="I41" s="1">
        <v>140</v>
      </c>
      <c r="J41">
        <v>389</v>
      </c>
      <c r="K41">
        <v>87</v>
      </c>
      <c r="L41">
        <f t="shared" si="0"/>
        <v>616</v>
      </c>
      <c r="M41" s="1">
        <f t="shared" si="1"/>
        <v>0</v>
      </c>
    </row>
    <row r="42" spans="1:13" x14ac:dyDescent="0.3">
      <c r="A42" t="s">
        <v>589</v>
      </c>
      <c r="C42" t="s">
        <v>566</v>
      </c>
      <c r="I42" s="1">
        <v>4669</v>
      </c>
      <c r="J42">
        <v>1810</v>
      </c>
      <c r="K42">
        <v>71</v>
      </c>
      <c r="L42">
        <f t="shared" si="0"/>
        <v>6550</v>
      </c>
      <c r="M42" s="1">
        <f t="shared" si="1"/>
        <v>0</v>
      </c>
    </row>
    <row r="43" spans="1:13" x14ac:dyDescent="0.3">
      <c r="A43" t="s">
        <v>590</v>
      </c>
      <c r="C43" t="s">
        <v>559</v>
      </c>
      <c r="I43" s="1">
        <v>404</v>
      </c>
      <c r="L43">
        <f t="shared" si="0"/>
        <v>404</v>
      </c>
      <c r="M43" s="1">
        <f t="shared" si="1"/>
        <v>0</v>
      </c>
    </row>
    <row r="44" spans="1:13" x14ac:dyDescent="0.3">
      <c r="A44" t="s">
        <v>591</v>
      </c>
      <c r="C44" t="s">
        <v>560</v>
      </c>
      <c r="I44" s="1">
        <v>30</v>
      </c>
      <c r="J44">
        <v>7</v>
      </c>
      <c r="L44">
        <f t="shared" si="0"/>
        <v>37</v>
      </c>
      <c r="M44" s="1">
        <f t="shared" si="1"/>
        <v>0</v>
      </c>
    </row>
    <row r="45" spans="1:13" x14ac:dyDescent="0.3">
      <c r="A45" t="s">
        <v>592</v>
      </c>
      <c r="C45" t="s">
        <v>570</v>
      </c>
      <c r="I45" s="1">
        <v>340</v>
      </c>
      <c r="J45">
        <v>1700</v>
      </c>
      <c r="K45">
        <v>300</v>
      </c>
      <c r="L45">
        <f t="shared" si="0"/>
        <v>2340</v>
      </c>
      <c r="M45" s="1">
        <f t="shared" si="1"/>
        <v>0</v>
      </c>
    </row>
    <row r="46" spans="1:13" x14ac:dyDescent="0.3">
      <c r="A46" t="s">
        <v>593</v>
      </c>
      <c r="C46" t="s">
        <v>575</v>
      </c>
      <c r="I46" s="1">
        <v>26031</v>
      </c>
      <c r="J46">
        <v>3157</v>
      </c>
      <c r="L46">
        <f t="shared" si="0"/>
        <v>29188</v>
      </c>
      <c r="M46" s="1">
        <f t="shared" si="1"/>
        <v>0</v>
      </c>
    </row>
    <row r="47" spans="1:13" x14ac:dyDescent="0.3">
      <c r="A47" t="s">
        <v>594</v>
      </c>
      <c r="C47" t="s">
        <v>554</v>
      </c>
      <c r="I47" s="1">
        <v>1761</v>
      </c>
      <c r="J47">
        <v>764</v>
      </c>
      <c r="K47">
        <v>415</v>
      </c>
      <c r="L47">
        <f t="shared" si="0"/>
        <v>2940</v>
      </c>
      <c r="M47" s="1">
        <f t="shared" si="1"/>
        <v>0</v>
      </c>
    </row>
    <row r="48" spans="1:13" x14ac:dyDescent="0.3">
      <c r="A48" t="s">
        <v>595</v>
      </c>
      <c r="C48" t="s">
        <v>561</v>
      </c>
      <c r="I48" s="1">
        <v>7500</v>
      </c>
      <c r="J48">
        <v>1500</v>
      </c>
      <c r="L48">
        <f t="shared" si="0"/>
        <v>9000</v>
      </c>
      <c r="M48" s="1">
        <f t="shared" si="1"/>
        <v>0</v>
      </c>
    </row>
    <row r="49" spans="1:13" x14ac:dyDescent="0.3">
      <c r="A49" t="s">
        <v>596</v>
      </c>
      <c r="C49" t="s">
        <v>558</v>
      </c>
      <c r="I49" s="1">
        <v>1716</v>
      </c>
      <c r="L49">
        <f t="shared" si="0"/>
        <v>1716</v>
      </c>
      <c r="M49" s="1">
        <f t="shared" si="1"/>
        <v>0</v>
      </c>
    </row>
    <row r="50" spans="1:13" x14ac:dyDescent="0.3">
      <c r="A50" t="s">
        <v>597</v>
      </c>
      <c r="C50" t="s">
        <v>567</v>
      </c>
      <c r="I50" s="1">
        <v>92</v>
      </c>
      <c r="J50">
        <v>2</v>
      </c>
      <c r="L50">
        <f t="shared" si="0"/>
        <v>94</v>
      </c>
      <c r="M50" s="1">
        <f t="shared" si="1"/>
        <v>0</v>
      </c>
    </row>
    <row r="51" spans="1:13" x14ac:dyDescent="0.3">
      <c r="A51" t="s">
        <v>598</v>
      </c>
      <c r="C51" t="s">
        <v>565</v>
      </c>
      <c r="I51" s="1">
        <v>14000</v>
      </c>
      <c r="J51">
        <v>34</v>
      </c>
      <c r="K51">
        <v>145</v>
      </c>
      <c r="L51">
        <f t="shared" si="0"/>
        <v>14179</v>
      </c>
      <c r="M51" s="1">
        <f t="shared" si="1"/>
        <v>0</v>
      </c>
    </row>
    <row r="52" spans="1:13" x14ac:dyDescent="0.3">
      <c r="A52" t="s">
        <v>599</v>
      </c>
      <c r="C52" t="s">
        <v>573</v>
      </c>
      <c r="I52" s="1">
        <v>7100</v>
      </c>
      <c r="J52">
        <v>7300</v>
      </c>
      <c r="L52">
        <f t="shared" si="0"/>
        <v>14400</v>
      </c>
      <c r="M52" s="1">
        <f t="shared" si="1"/>
        <v>0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22367-FB0B-439E-A953-52CD586D3B1C}">
  <dimension ref="A1:BX13"/>
  <sheetViews>
    <sheetView workbookViewId="0">
      <selection activeCell="G12" sqref="G12"/>
    </sheetView>
  </sheetViews>
  <sheetFormatPr defaultRowHeight="14.4" x14ac:dyDescent="0.3"/>
  <sheetData>
    <row r="1" spans="1:76" x14ac:dyDescent="0.3">
      <c r="B1" t="s">
        <v>600</v>
      </c>
      <c r="C1" t="s">
        <v>601</v>
      </c>
      <c r="D1" t="s">
        <v>602</v>
      </c>
      <c r="E1" t="s">
        <v>603</v>
      </c>
      <c r="F1" t="s">
        <v>604</v>
      </c>
      <c r="G1" t="s">
        <v>605</v>
      </c>
      <c r="H1" t="s">
        <v>606</v>
      </c>
      <c r="I1" t="s">
        <v>607</v>
      </c>
      <c r="J1" t="s">
        <v>608</v>
      </c>
      <c r="K1" t="s">
        <v>609</v>
      </c>
      <c r="L1" t="s">
        <v>610</v>
      </c>
      <c r="M1" t="s">
        <v>611</v>
      </c>
      <c r="N1" t="s">
        <v>612</v>
      </c>
      <c r="O1" t="s">
        <v>613</v>
      </c>
      <c r="P1" t="s">
        <v>614</v>
      </c>
      <c r="Q1" t="s">
        <v>615</v>
      </c>
      <c r="R1" t="s">
        <v>616</v>
      </c>
      <c r="S1" t="s">
        <v>617</v>
      </c>
      <c r="T1" t="s">
        <v>618</v>
      </c>
      <c r="U1" t="s">
        <v>619</v>
      </c>
      <c r="V1" t="s">
        <v>620</v>
      </c>
      <c r="W1" t="s">
        <v>621</v>
      </c>
      <c r="X1" t="s">
        <v>622</v>
      </c>
      <c r="Y1" t="s">
        <v>623</v>
      </c>
      <c r="Z1" t="s">
        <v>624</v>
      </c>
      <c r="AA1" t="s">
        <v>625</v>
      </c>
      <c r="AB1" t="s">
        <v>626</v>
      </c>
      <c r="AC1" t="s">
        <v>627</v>
      </c>
      <c r="AD1" t="s">
        <v>628</v>
      </c>
      <c r="AE1" t="s">
        <v>629</v>
      </c>
      <c r="AF1" t="s">
        <v>630</v>
      </c>
      <c r="AG1" t="s">
        <v>631</v>
      </c>
      <c r="AH1" t="s">
        <v>632</v>
      </c>
      <c r="AI1" t="s">
        <v>633</v>
      </c>
      <c r="AJ1" t="s">
        <v>634</v>
      </c>
      <c r="AK1" t="s">
        <v>635</v>
      </c>
      <c r="AL1" t="s">
        <v>636</v>
      </c>
      <c r="AM1" t="s">
        <v>637</v>
      </c>
      <c r="AN1" t="s">
        <v>638</v>
      </c>
      <c r="AO1" t="s">
        <v>639</v>
      </c>
      <c r="AP1" t="s">
        <v>640</v>
      </c>
      <c r="AQ1" t="s">
        <v>641</v>
      </c>
      <c r="AR1" t="s">
        <v>642</v>
      </c>
      <c r="AS1" t="s">
        <v>643</v>
      </c>
      <c r="AT1" t="s">
        <v>644</v>
      </c>
      <c r="AU1" t="s">
        <v>645</v>
      </c>
      <c r="AV1" t="s">
        <v>646</v>
      </c>
      <c r="AW1" t="s">
        <v>647</v>
      </c>
      <c r="AX1" t="s">
        <v>648</v>
      </c>
      <c r="AY1" t="s">
        <v>649</v>
      </c>
      <c r="AZ1" t="s">
        <v>650</v>
      </c>
      <c r="BA1" t="s">
        <v>651</v>
      </c>
      <c r="BB1" t="s">
        <v>652</v>
      </c>
      <c r="BC1" t="s">
        <v>653</v>
      </c>
      <c r="BD1" t="s">
        <v>654</v>
      </c>
      <c r="BE1" t="s">
        <v>655</v>
      </c>
      <c r="BF1" t="s">
        <v>656</v>
      </c>
      <c r="BG1" t="s">
        <v>657</v>
      </c>
      <c r="BH1" t="s">
        <v>658</v>
      </c>
      <c r="BI1" t="s">
        <v>659</v>
      </c>
      <c r="BJ1" t="s">
        <v>660</v>
      </c>
      <c r="BK1" t="s">
        <v>661</v>
      </c>
      <c r="BL1" t="s">
        <v>662</v>
      </c>
      <c r="BM1" t="s">
        <v>663</v>
      </c>
      <c r="BN1" t="s">
        <v>664</v>
      </c>
      <c r="BO1" t="s">
        <v>665</v>
      </c>
      <c r="BP1" t="s">
        <v>666</v>
      </c>
      <c r="BQ1" t="s">
        <v>667</v>
      </c>
      <c r="BR1" t="s">
        <v>668</v>
      </c>
      <c r="BS1" t="s">
        <v>669</v>
      </c>
      <c r="BT1" t="s">
        <v>670</v>
      </c>
      <c r="BU1" t="s">
        <v>671</v>
      </c>
      <c r="BV1" t="s">
        <v>672</v>
      </c>
      <c r="BW1" t="s">
        <v>673</v>
      </c>
      <c r="BX1" t="s">
        <v>674</v>
      </c>
    </row>
    <row r="2" spans="1:76" x14ac:dyDescent="0.3">
      <c r="A2" t="s">
        <v>804</v>
      </c>
      <c r="B2">
        <v>67</v>
      </c>
      <c r="C2">
        <v>67</v>
      </c>
      <c r="D2">
        <v>67</v>
      </c>
      <c r="E2">
        <v>67</v>
      </c>
      <c r="F2">
        <v>90</v>
      </c>
      <c r="G2">
        <v>90</v>
      </c>
      <c r="H2">
        <v>90</v>
      </c>
      <c r="I2">
        <v>35</v>
      </c>
      <c r="J2">
        <v>35</v>
      </c>
      <c r="K2">
        <v>35</v>
      </c>
      <c r="L2">
        <v>35</v>
      </c>
      <c r="M2">
        <v>35</v>
      </c>
      <c r="N2">
        <v>35</v>
      </c>
      <c r="O2">
        <v>90</v>
      </c>
      <c r="P2">
        <v>57</v>
      </c>
      <c r="Q2">
        <v>57</v>
      </c>
      <c r="R2">
        <v>57</v>
      </c>
      <c r="S2">
        <v>57</v>
      </c>
      <c r="T2">
        <v>57</v>
      </c>
      <c r="U2">
        <v>18</v>
      </c>
      <c r="V2">
        <v>42</v>
      </c>
      <c r="W2">
        <v>57</v>
      </c>
      <c r="X2">
        <v>57</v>
      </c>
      <c r="Y2">
        <v>57</v>
      </c>
      <c r="Z2">
        <v>57</v>
      </c>
      <c r="AA2">
        <v>57</v>
      </c>
      <c r="AB2">
        <v>57</v>
      </c>
      <c r="AC2">
        <v>57</v>
      </c>
      <c r="AD2">
        <v>57</v>
      </c>
      <c r="AE2">
        <v>57</v>
      </c>
      <c r="AF2">
        <v>57</v>
      </c>
      <c r="AG2">
        <v>57</v>
      </c>
      <c r="AH2">
        <v>57</v>
      </c>
      <c r="AI2">
        <v>57</v>
      </c>
      <c r="AJ2">
        <v>57</v>
      </c>
      <c r="AK2">
        <v>57</v>
      </c>
      <c r="AL2">
        <v>57</v>
      </c>
      <c r="AM2">
        <v>57</v>
      </c>
      <c r="AN2">
        <v>57</v>
      </c>
      <c r="AO2">
        <v>57</v>
      </c>
      <c r="AP2">
        <v>57</v>
      </c>
      <c r="AQ2">
        <v>57</v>
      </c>
      <c r="AR2">
        <v>57</v>
      </c>
      <c r="AS2">
        <v>57</v>
      </c>
      <c r="AT2">
        <v>57</v>
      </c>
      <c r="AU2">
        <v>57</v>
      </c>
      <c r="AV2">
        <v>68</v>
      </c>
      <c r="AW2">
        <v>68</v>
      </c>
      <c r="AX2">
        <v>68</v>
      </c>
      <c r="AY2">
        <v>68</v>
      </c>
      <c r="AZ2">
        <v>68</v>
      </c>
      <c r="BA2">
        <v>68</v>
      </c>
      <c r="BB2">
        <v>68</v>
      </c>
      <c r="BC2">
        <v>68</v>
      </c>
      <c r="BD2">
        <v>68</v>
      </c>
      <c r="BE2">
        <v>68</v>
      </c>
      <c r="BF2">
        <v>68</v>
      </c>
      <c r="BG2">
        <v>68</v>
      </c>
      <c r="BH2">
        <v>68</v>
      </c>
      <c r="BI2">
        <v>68</v>
      </c>
      <c r="BJ2">
        <v>68</v>
      </c>
      <c r="BK2">
        <v>68</v>
      </c>
      <c r="BL2">
        <v>68</v>
      </c>
      <c r="BM2">
        <v>68</v>
      </c>
      <c r="BN2">
        <v>68</v>
      </c>
      <c r="BO2">
        <v>68</v>
      </c>
      <c r="BP2">
        <v>68</v>
      </c>
      <c r="BQ2">
        <v>68</v>
      </c>
      <c r="BR2">
        <v>68</v>
      </c>
      <c r="BS2">
        <v>73</v>
      </c>
      <c r="BT2">
        <v>73</v>
      </c>
      <c r="BU2">
        <v>73</v>
      </c>
      <c r="BV2">
        <v>73</v>
      </c>
      <c r="BW2">
        <v>46</v>
      </c>
      <c r="BX2">
        <v>46</v>
      </c>
    </row>
    <row r="3" spans="1:76" x14ac:dyDescent="0.3">
      <c r="A3" t="s">
        <v>805</v>
      </c>
      <c r="B3">
        <v>93</v>
      </c>
      <c r="C3">
        <v>93</v>
      </c>
      <c r="D3">
        <v>93</v>
      </c>
      <c r="E3">
        <v>93</v>
      </c>
      <c r="F3">
        <v>90</v>
      </c>
      <c r="G3">
        <v>90</v>
      </c>
      <c r="H3">
        <v>90</v>
      </c>
      <c r="I3">
        <v>65</v>
      </c>
      <c r="J3">
        <v>65</v>
      </c>
      <c r="K3">
        <v>65</v>
      </c>
      <c r="L3">
        <v>65</v>
      </c>
      <c r="M3">
        <v>65</v>
      </c>
      <c r="N3">
        <v>65</v>
      </c>
      <c r="O3">
        <v>90</v>
      </c>
      <c r="P3">
        <v>74</v>
      </c>
      <c r="Q3">
        <v>74</v>
      </c>
      <c r="R3">
        <v>74</v>
      </c>
      <c r="S3">
        <v>74</v>
      </c>
      <c r="T3">
        <v>74</v>
      </c>
      <c r="U3">
        <v>23</v>
      </c>
      <c r="V3">
        <v>65</v>
      </c>
      <c r="W3">
        <v>86</v>
      </c>
      <c r="X3">
        <v>86</v>
      </c>
      <c r="Y3">
        <v>86</v>
      </c>
      <c r="Z3">
        <v>86</v>
      </c>
      <c r="AA3">
        <v>86</v>
      </c>
      <c r="AB3">
        <v>86</v>
      </c>
      <c r="AC3">
        <v>86</v>
      </c>
      <c r="AD3">
        <v>86</v>
      </c>
      <c r="AE3">
        <v>86</v>
      </c>
      <c r="AF3">
        <v>86</v>
      </c>
      <c r="AG3">
        <v>86</v>
      </c>
      <c r="AH3">
        <v>86</v>
      </c>
      <c r="AI3">
        <v>86</v>
      </c>
      <c r="AJ3">
        <v>86</v>
      </c>
      <c r="AK3">
        <v>86</v>
      </c>
      <c r="AL3">
        <v>86</v>
      </c>
      <c r="AM3">
        <v>86</v>
      </c>
      <c r="AN3">
        <v>86</v>
      </c>
      <c r="AO3">
        <v>86</v>
      </c>
      <c r="AP3">
        <v>86</v>
      </c>
      <c r="AQ3">
        <v>86</v>
      </c>
      <c r="AR3">
        <v>86</v>
      </c>
      <c r="AS3">
        <v>86</v>
      </c>
      <c r="AT3">
        <v>86</v>
      </c>
      <c r="AU3">
        <v>86</v>
      </c>
      <c r="AV3">
        <v>86</v>
      </c>
      <c r="AW3">
        <v>86</v>
      </c>
      <c r="AX3">
        <v>86</v>
      </c>
      <c r="AY3">
        <v>86</v>
      </c>
      <c r="AZ3">
        <v>86</v>
      </c>
      <c r="BA3">
        <v>86</v>
      </c>
      <c r="BB3">
        <v>86</v>
      </c>
      <c r="BC3">
        <v>86</v>
      </c>
      <c r="BD3">
        <v>86</v>
      </c>
      <c r="BE3">
        <v>86</v>
      </c>
      <c r="BF3">
        <v>86</v>
      </c>
      <c r="BG3">
        <v>86</v>
      </c>
      <c r="BH3">
        <v>86</v>
      </c>
      <c r="BI3">
        <v>86</v>
      </c>
      <c r="BJ3">
        <v>86</v>
      </c>
      <c r="BK3">
        <v>86</v>
      </c>
      <c r="BL3">
        <v>86</v>
      </c>
      <c r="BM3">
        <v>86</v>
      </c>
      <c r="BN3">
        <v>86</v>
      </c>
      <c r="BO3">
        <v>86</v>
      </c>
      <c r="BP3">
        <v>86</v>
      </c>
      <c r="BQ3">
        <v>86</v>
      </c>
      <c r="BR3">
        <v>86</v>
      </c>
      <c r="BS3">
        <v>80</v>
      </c>
      <c r="BT3">
        <v>80</v>
      </c>
      <c r="BU3">
        <v>80</v>
      </c>
      <c r="BV3">
        <v>80</v>
      </c>
      <c r="BW3">
        <v>82</v>
      </c>
      <c r="BX3">
        <v>82</v>
      </c>
    </row>
    <row r="4" spans="1:76" x14ac:dyDescent="0.3">
      <c r="A4" t="s">
        <v>806</v>
      </c>
      <c r="B4">
        <v>82</v>
      </c>
      <c r="C4">
        <v>82</v>
      </c>
      <c r="D4">
        <v>82</v>
      </c>
      <c r="E4">
        <v>82</v>
      </c>
      <c r="F4">
        <v>52</v>
      </c>
      <c r="G4">
        <v>52</v>
      </c>
      <c r="H4">
        <v>52</v>
      </c>
      <c r="I4">
        <v>83</v>
      </c>
      <c r="J4">
        <v>83</v>
      </c>
      <c r="K4">
        <v>83</v>
      </c>
      <c r="L4">
        <v>83</v>
      </c>
      <c r="M4">
        <v>83</v>
      </c>
      <c r="N4">
        <v>83</v>
      </c>
      <c r="O4">
        <v>52</v>
      </c>
      <c r="P4">
        <v>70</v>
      </c>
      <c r="Q4">
        <v>70</v>
      </c>
      <c r="R4">
        <v>70</v>
      </c>
      <c r="S4">
        <v>70</v>
      </c>
      <c r="T4">
        <v>70</v>
      </c>
      <c r="U4">
        <v>35</v>
      </c>
      <c r="V4">
        <v>82</v>
      </c>
      <c r="W4">
        <v>48</v>
      </c>
      <c r="X4">
        <v>48</v>
      </c>
      <c r="Y4">
        <v>48</v>
      </c>
      <c r="Z4">
        <v>48</v>
      </c>
      <c r="AA4">
        <v>48</v>
      </c>
      <c r="AB4">
        <v>48</v>
      </c>
      <c r="AC4">
        <v>48</v>
      </c>
      <c r="AD4">
        <v>48</v>
      </c>
      <c r="AE4">
        <v>48</v>
      </c>
      <c r="AF4">
        <v>48</v>
      </c>
      <c r="AG4">
        <v>48</v>
      </c>
      <c r="AH4">
        <v>48</v>
      </c>
      <c r="AI4">
        <v>48</v>
      </c>
      <c r="AJ4">
        <v>48</v>
      </c>
      <c r="AK4">
        <v>48</v>
      </c>
      <c r="AL4">
        <v>48</v>
      </c>
      <c r="AM4">
        <v>48</v>
      </c>
      <c r="AN4">
        <v>48</v>
      </c>
      <c r="AO4">
        <v>48</v>
      </c>
      <c r="AP4">
        <v>48</v>
      </c>
      <c r="AQ4">
        <v>48</v>
      </c>
      <c r="AR4">
        <v>48</v>
      </c>
      <c r="AS4">
        <v>48</v>
      </c>
      <c r="AT4">
        <v>48</v>
      </c>
      <c r="AU4">
        <v>48</v>
      </c>
      <c r="AV4">
        <v>63</v>
      </c>
      <c r="AW4">
        <v>63</v>
      </c>
      <c r="AX4">
        <v>63</v>
      </c>
      <c r="AY4">
        <v>63</v>
      </c>
      <c r="AZ4">
        <v>63</v>
      </c>
      <c r="BA4">
        <v>63</v>
      </c>
      <c r="BB4">
        <v>63</v>
      </c>
      <c r="BC4">
        <v>63</v>
      </c>
      <c r="BD4">
        <v>63</v>
      </c>
      <c r="BE4">
        <v>63</v>
      </c>
      <c r="BF4">
        <v>63</v>
      </c>
      <c r="BG4">
        <v>63</v>
      </c>
      <c r="BH4">
        <v>63</v>
      </c>
      <c r="BI4">
        <v>63</v>
      </c>
      <c r="BJ4">
        <v>63</v>
      </c>
      <c r="BK4">
        <v>63</v>
      </c>
      <c r="BL4">
        <v>63</v>
      </c>
      <c r="BM4">
        <v>63</v>
      </c>
      <c r="BN4">
        <v>63</v>
      </c>
      <c r="BO4">
        <v>63</v>
      </c>
      <c r="BP4">
        <v>63</v>
      </c>
      <c r="BQ4">
        <v>63</v>
      </c>
      <c r="BR4">
        <v>63</v>
      </c>
      <c r="BS4">
        <v>58</v>
      </c>
      <c r="BT4">
        <v>58</v>
      </c>
      <c r="BU4">
        <v>58</v>
      </c>
      <c r="BV4">
        <v>58</v>
      </c>
      <c r="BW4">
        <v>58</v>
      </c>
      <c r="BX4">
        <v>58</v>
      </c>
    </row>
    <row r="5" spans="1:76" x14ac:dyDescent="0.3">
      <c r="A5" t="s">
        <v>807</v>
      </c>
      <c r="B5">
        <v>75</v>
      </c>
      <c r="C5">
        <v>75</v>
      </c>
      <c r="D5">
        <v>75</v>
      </c>
      <c r="E5">
        <v>75</v>
      </c>
      <c r="F5">
        <v>30</v>
      </c>
      <c r="G5">
        <v>30</v>
      </c>
      <c r="H5">
        <v>30</v>
      </c>
      <c r="I5">
        <v>67</v>
      </c>
      <c r="J5">
        <v>67</v>
      </c>
      <c r="K5">
        <v>67</v>
      </c>
      <c r="L5">
        <v>67</v>
      </c>
      <c r="M5">
        <v>67</v>
      </c>
      <c r="N5">
        <v>67</v>
      </c>
      <c r="O5">
        <v>30</v>
      </c>
      <c r="P5">
        <v>58</v>
      </c>
      <c r="Q5">
        <v>58</v>
      </c>
      <c r="R5">
        <v>58</v>
      </c>
      <c r="S5">
        <v>58</v>
      </c>
      <c r="T5">
        <v>58</v>
      </c>
      <c r="U5">
        <v>74</v>
      </c>
      <c r="V5">
        <v>60</v>
      </c>
      <c r="W5">
        <v>51</v>
      </c>
      <c r="X5">
        <v>51</v>
      </c>
      <c r="Y5">
        <v>51</v>
      </c>
      <c r="Z5">
        <v>51</v>
      </c>
      <c r="AA5">
        <v>51</v>
      </c>
      <c r="AB5">
        <v>51</v>
      </c>
      <c r="AC5">
        <v>51</v>
      </c>
      <c r="AD5">
        <v>51</v>
      </c>
      <c r="AE5">
        <v>51</v>
      </c>
      <c r="AF5">
        <v>51</v>
      </c>
      <c r="AG5">
        <v>51</v>
      </c>
      <c r="AH5">
        <v>51</v>
      </c>
      <c r="AI5">
        <v>51</v>
      </c>
      <c r="AJ5">
        <v>51</v>
      </c>
      <c r="AK5">
        <v>51</v>
      </c>
      <c r="AL5">
        <v>51</v>
      </c>
      <c r="AM5">
        <v>51</v>
      </c>
      <c r="AN5">
        <v>51</v>
      </c>
      <c r="AO5">
        <v>51</v>
      </c>
      <c r="AP5">
        <v>51</v>
      </c>
      <c r="AQ5">
        <v>51</v>
      </c>
      <c r="AR5">
        <v>51</v>
      </c>
      <c r="AS5">
        <v>51</v>
      </c>
      <c r="AT5">
        <v>51</v>
      </c>
      <c r="AU5">
        <v>51</v>
      </c>
      <c r="AV5">
        <v>71</v>
      </c>
      <c r="AW5">
        <v>71</v>
      </c>
      <c r="AX5">
        <v>71</v>
      </c>
      <c r="AY5">
        <v>71</v>
      </c>
      <c r="AZ5">
        <v>71</v>
      </c>
      <c r="BA5">
        <v>71</v>
      </c>
      <c r="BB5">
        <v>71</v>
      </c>
      <c r="BC5">
        <v>71</v>
      </c>
      <c r="BD5">
        <v>71</v>
      </c>
      <c r="BE5">
        <v>71</v>
      </c>
      <c r="BF5">
        <v>71</v>
      </c>
      <c r="BG5">
        <v>71</v>
      </c>
      <c r="BH5">
        <v>71</v>
      </c>
      <c r="BI5">
        <v>71</v>
      </c>
      <c r="BJ5">
        <v>71</v>
      </c>
      <c r="BK5">
        <v>71</v>
      </c>
      <c r="BL5">
        <v>71</v>
      </c>
      <c r="BM5">
        <v>71</v>
      </c>
      <c r="BN5">
        <v>71</v>
      </c>
      <c r="BO5">
        <v>71</v>
      </c>
      <c r="BP5">
        <v>71</v>
      </c>
      <c r="BQ5">
        <v>71</v>
      </c>
      <c r="BR5">
        <v>71</v>
      </c>
      <c r="BS5">
        <v>33</v>
      </c>
      <c r="BT5">
        <v>33</v>
      </c>
      <c r="BU5">
        <v>33</v>
      </c>
      <c r="BV5">
        <v>33</v>
      </c>
      <c r="BW5">
        <v>80</v>
      </c>
      <c r="BX5">
        <v>80</v>
      </c>
    </row>
    <row r="6" spans="1:76" x14ac:dyDescent="0.3">
      <c r="A6" t="s">
        <v>808</v>
      </c>
      <c r="B6">
        <v>53</v>
      </c>
      <c r="C6">
        <v>53</v>
      </c>
      <c r="D6">
        <v>53</v>
      </c>
      <c r="E6">
        <v>53</v>
      </c>
      <c r="F6">
        <v>42</v>
      </c>
      <c r="G6">
        <v>42</v>
      </c>
      <c r="H6">
        <v>42</v>
      </c>
      <c r="I6">
        <v>66</v>
      </c>
      <c r="J6">
        <v>66</v>
      </c>
      <c r="K6">
        <v>66</v>
      </c>
      <c r="L6">
        <v>66</v>
      </c>
      <c r="M6">
        <v>66</v>
      </c>
      <c r="N6">
        <v>66</v>
      </c>
      <c r="O6">
        <v>42</v>
      </c>
      <c r="P6">
        <v>57</v>
      </c>
      <c r="Q6">
        <v>57</v>
      </c>
      <c r="R6">
        <v>57</v>
      </c>
      <c r="S6">
        <v>57</v>
      </c>
      <c r="T6">
        <v>57</v>
      </c>
      <c r="U6">
        <v>16</v>
      </c>
      <c r="V6">
        <v>19</v>
      </c>
      <c r="W6">
        <v>42</v>
      </c>
      <c r="X6">
        <v>42</v>
      </c>
      <c r="Y6">
        <v>42</v>
      </c>
      <c r="Z6">
        <v>42</v>
      </c>
      <c r="AA6">
        <v>42</v>
      </c>
      <c r="AB6">
        <v>42</v>
      </c>
      <c r="AC6">
        <v>42</v>
      </c>
      <c r="AD6">
        <v>42</v>
      </c>
      <c r="AE6">
        <v>42</v>
      </c>
      <c r="AF6">
        <v>42</v>
      </c>
      <c r="AG6">
        <v>42</v>
      </c>
      <c r="AH6">
        <v>42</v>
      </c>
      <c r="AI6">
        <v>42</v>
      </c>
      <c r="AJ6">
        <v>42</v>
      </c>
      <c r="AK6">
        <v>42</v>
      </c>
      <c r="AL6">
        <v>42</v>
      </c>
      <c r="AM6">
        <v>42</v>
      </c>
      <c r="AN6">
        <v>42</v>
      </c>
      <c r="AO6">
        <v>42</v>
      </c>
      <c r="AP6">
        <v>42</v>
      </c>
      <c r="AQ6">
        <v>42</v>
      </c>
      <c r="AR6">
        <v>42</v>
      </c>
      <c r="AS6">
        <v>42</v>
      </c>
      <c r="AT6">
        <v>42</v>
      </c>
      <c r="AU6">
        <v>42</v>
      </c>
      <c r="AV6">
        <v>43</v>
      </c>
      <c r="AW6">
        <v>43</v>
      </c>
      <c r="AX6">
        <v>43</v>
      </c>
      <c r="AY6">
        <v>43</v>
      </c>
      <c r="AZ6">
        <v>43</v>
      </c>
      <c r="BA6">
        <v>43</v>
      </c>
      <c r="BB6">
        <v>43</v>
      </c>
      <c r="BC6">
        <v>43</v>
      </c>
      <c r="BD6">
        <v>43</v>
      </c>
      <c r="BE6">
        <v>43</v>
      </c>
      <c r="BF6">
        <v>43</v>
      </c>
      <c r="BG6">
        <v>43</v>
      </c>
      <c r="BH6">
        <v>43</v>
      </c>
      <c r="BI6">
        <v>43</v>
      </c>
      <c r="BJ6">
        <v>43</v>
      </c>
      <c r="BK6">
        <v>43</v>
      </c>
      <c r="BL6">
        <v>43</v>
      </c>
      <c r="BM6">
        <v>43</v>
      </c>
      <c r="BN6">
        <v>43</v>
      </c>
      <c r="BO6">
        <v>43</v>
      </c>
      <c r="BP6">
        <v>43</v>
      </c>
      <c r="BQ6">
        <v>43</v>
      </c>
      <c r="BR6">
        <v>43</v>
      </c>
      <c r="BS6">
        <v>40</v>
      </c>
      <c r="BT6">
        <v>40</v>
      </c>
      <c r="BU6">
        <v>40</v>
      </c>
      <c r="BV6">
        <v>40</v>
      </c>
      <c r="BW6">
        <v>88</v>
      </c>
      <c r="BX6">
        <v>88</v>
      </c>
    </row>
    <row r="7" spans="1:76" x14ac:dyDescent="0.3">
      <c r="A7" t="s">
        <v>809</v>
      </c>
      <c r="B7">
        <v>57</v>
      </c>
      <c r="C7">
        <v>57</v>
      </c>
      <c r="D7">
        <v>57</v>
      </c>
      <c r="E7">
        <v>57</v>
      </c>
      <c r="F7">
        <v>20</v>
      </c>
      <c r="G7">
        <v>20</v>
      </c>
      <c r="H7">
        <v>20</v>
      </c>
      <c r="I7">
        <v>40</v>
      </c>
      <c r="J7">
        <v>40</v>
      </c>
      <c r="K7">
        <v>40</v>
      </c>
      <c r="L7">
        <v>40</v>
      </c>
      <c r="M7">
        <v>40</v>
      </c>
      <c r="N7">
        <v>40</v>
      </c>
      <c r="O7">
        <v>20</v>
      </c>
      <c r="P7">
        <v>29</v>
      </c>
      <c r="Q7">
        <v>29</v>
      </c>
      <c r="R7">
        <v>29</v>
      </c>
      <c r="S7">
        <v>29</v>
      </c>
      <c r="T7">
        <v>29</v>
      </c>
      <c r="U7">
        <v>70</v>
      </c>
      <c r="V7">
        <v>16</v>
      </c>
      <c r="W7">
        <v>44</v>
      </c>
      <c r="X7">
        <v>44</v>
      </c>
      <c r="Y7">
        <v>44</v>
      </c>
      <c r="Z7">
        <v>44</v>
      </c>
      <c r="AA7">
        <v>44</v>
      </c>
      <c r="AB7">
        <v>44</v>
      </c>
      <c r="AC7">
        <v>44</v>
      </c>
      <c r="AD7">
        <v>44</v>
      </c>
      <c r="AE7">
        <v>44</v>
      </c>
      <c r="AF7">
        <v>44</v>
      </c>
      <c r="AG7">
        <v>44</v>
      </c>
      <c r="AH7">
        <v>44</v>
      </c>
      <c r="AI7">
        <v>44</v>
      </c>
      <c r="AJ7">
        <v>44</v>
      </c>
      <c r="AK7">
        <v>44</v>
      </c>
      <c r="AL7">
        <v>44</v>
      </c>
      <c r="AM7">
        <v>44</v>
      </c>
      <c r="AN7">
        <v>44</v>
      </c>
      <c r="AO7">
        <v>44</v>
      </c>
      <c r="AP7">
        <v>44</v>
      </c>
      <c r="AQ7">
        <v>44</v>
      </c>
      <c r="AR7">
        <v>44</v>
      </c>
      <c r="AS7">
        <v>44</v>
      </c>
      <c r="AT7">
        <v>44</v>
      </c>
      <c r="AU7">
        <v>44</v>
      </c>
      <c r="AV7">
        <v>48</v>
      </c>
      <c r="AW7">
        <v>48</v>
      </c>
      <c r="AX7">
        <v>48</v>
      </c>
      <c r="AY7">
        <v>48</v>
      </c>
      <c r="AZ7">
        <v>48</v>
      </c>
      <c r="BA7">
        <v>48</v>
      </c>
      <c r="BB7">
        <v>48</v>
      </c>
      <c r="BC7">
        <v>48</v>
      </c>
      <c r="BD7">
        <v>48</v>
      </c>
      <c r="BE7">
        <v>48</v>
      </c>
      <c r="BF7">
        <v>48</v>
      </c>
      <c r="BG7">
        <v>48</v>
      </c>
      <c r="BH7">
        <v>48</v>
      </c>
      <c r="BI7">
        <v>48</v>
      </c>
      <c r="BJ7">
        <v>48</v>
      </c>
      <c r="BK7">
        <v>48</v>
      </c>
      <c r="BL7">
        <v>48</v>
      </c>
      <c r="BM7">
        <v>48</v>
      </c>
      <c r="BN7">
        <v>48</v>
      </c>
      <c r="BO7">
        <v>48</v>
      </c>
      <c r="BP7">
        <v>48</v>
      </c>
      <c r="BQ7">
        <v>48</v>
      </c>
      <c r="BR7">
        <v>48</v>
      </c>
      <c r="BS7">
        <v>33</v>
      </c>
      <c r="BT7">
        <v>33</v>
      </c>
      <c r="BU7">
        <v>33</v>
      </c>
      <c r="BV7">
        <v>33</v>
      </c>
      <c r="BW7">
        <v>31</v>
      </c>
      <c r="BX7">
        <v>31</v>
      </c>
    </row>
    <row r="11" spans="1:76" x14ac:dyDescent="0.3">
      <c r="A11" t="s">
        <v>557</v>
      </c>
      <c r="B11" t="s">
        <v>561</v>
      </c>
    </row>
    <row r="12" spans="1:76" x14ac:dyDescent="0.3">
      <c r="A12" t="s">
        <v>810</v>
      </c>
      <c r="B12" t="s">
        <v>811</v>
      </c>
    </row>
    <row r="13" spans="1:76" x14ac:dyDescent="0.3">
      <c r="A13" t="s">
        <v>812</v>
      </c>
      <c r="B13" t="s">
        <v>561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LD (i,j,offshore)</vt:lpstr>
      <vt:lpstr>LD (i,j,onshore)</vt:lpstr>
      <vt:lpstr>distance</vt:lpstr>
      <vt:lpstr>sequestration source.old</vt:lpstr>
      <vt:lpstr>capture source</vt:lpstr>
      <vt:lpstr>dim1</vt:lpstr>
      <vt:lpstr>dim2</vt:lpstr>
      <vt:lpstr>sequestration source (main)</vt:lpstr>
      <vt:lpstr>dim1 new</vt:lpstr>
      <vt:lpstr>pipeline</vt:lpstr>
      <vt:lpstr>unitary transport cost</vt:lpstr>
      <vt:lpstr>dim2 new</vt:lpstr>
      <vt:lpstr>distance new</vt:lpstr>
      <vt:lpstr>capture new</vt:lpstr>
      <vt:lpstr>sequestration new</vt:lpstr>
      <vt:lpstr>capture cost</vt:lpstr>
      <vt:lpstr>Result</vt:lpstr>
      <vt:lpstr>result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Sarfaraz</dc:creator>
  <cp:lastModifiedBy>Academico</cp:lastModifiedBy>
  <cp:lastPrinted>2022-12-28T23:20:34Z</cp:lastPrinted>
  <dcterms:created xsi:type="dcterms:W3CDTF">2015-06-05T18:17:20Z</dcterms:created>
  <dcterms:modified xsi:type="dcterms:W3CDTF">2022-12-29T02:31:14Z</dcterms:modified>
</cp:coreProperties>
</file>